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B+wo5FM1iZQZOBA1OCc0BJJStUPN94OFz0kBVdDSBql65WahouLQAzUyp6Ynqqn/oOTRnWxU9rjFC0W1gZlA0A==" workbookSaltValue="FDLFMqc1MqufJ9nex+PWXA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C136" i="83" l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334" i="83" l="1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P278" i="83" l="1"/>
  <c r="AA478" i="83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<sst xmlns="http://schemas.openxmlformats.org/spreadsheetml/2006/main" count="65903" uniqueCount="755">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</sst>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43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124290.78</v>
      </c>
    </row>
    <row r="4" spans="1:29" x14ac:dyDescent="0.25">
      <c r="A4" s="2">
        <f>Results!$D$3</f>
        <v>43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43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43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43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0.78363198744841933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4.8635449872295712E-2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6.5461952807066306E-2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0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0.10187150588804594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3.9910398417275446E-4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7.1024891586662947E-2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6.9345380471929355E-2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6.834538047192934E-2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6.6345380471929338E-2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1.4012084148131414E-2</v>
      </c>
      <c r="AB7" s="2">
        <f>SUMIFS(PERSALDATA!$G$2:$G$20871,PERSALDATA!$A$2:$A$20871,WORKING!A7,PERSALDATA!$D$2:$D$20871,WORKING!B7,PERSALDATA!$E$2:$E$20871,WORKING!C7,PERSALDATA!$F$2:$F$20871,"S&amp;W: BASIC SALARY (RES)")</f>
        <v>1</v>
      </c>
      <c r="AC7" s="2">
        <f>SUMIFS(PERSALDATA!$H$2:$H$20871,PERSALDATA!$A$2:$A$20871,WORKING!A7,PERSALDATA!$D$2:$D$20871,WORKING!B7,PERSALDATA!$E$2:$E$20871,WORKING!C7)</f>
        <v>233723.55</v>
      </c>
    </row>
    <row r="8" spans="1:29" x14ac:dyDescent="0.25">
      <c r="A8" s="2">
        <f>Results!$D$3</f>
        <v>43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0.65339092399968468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5.4248192939427939E-2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5.3315974885400484E-2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3.115151785752036E-2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9.0336899912371108E-2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8.4940081649073976E-2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1.8499450370727401E-2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2.8386496217523726E-4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1.2901686876058544E-2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9.3140654756040193E-4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7.3212702507482769E-2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7.0821893749831569E-2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6.9821893749831568E-2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6.782189374983158E-2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1.2840948903600798E-2</v>
      </c>
      <c r="AB8" s="2">
        <f>SUMIFS(PERSALDATA!$G$2:$G$20871,PERSALDATA!$A$2:$A$20871,WORKING!A8,PERSALDATA!$D$2:$D$20871,WORKING!B8,PERSALDATA!$E$2:$E$20871,WORKING!C8,PERSALDATA!$F$2:$F$20871,"S&amp;W: BASIC SALARY (RES)")</f>
        <v>5</v>
      </c>
      <c r="AC8" s="2">
        <f>SUMIFS(PERSALDATA!$H$2:$H$20871,PERSALDATA!$A$2:$A$20871,WORKING!A8,PERSALDATA!$D$2:$D$20871,WORKING!B8,PERSALDATA!$E$2:$E$20871,WORKING!C8)</f>
        <v>1232276.0699999998</v>
      </c>
    </row>
    <row r="9" spans="1:29" x14ac:dyDescent="0.25">
      <c r="A9" s="2">
        <f>Results!$D$3</f>
        <v>43</v>
      </c>
      <c r="B9" s="2">
        <v>1</v>
      </c>
      <c r="C9" s="2">
        <v>7</v>
      </c>
      <c r="D9" s="62" t="str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/>
      </c>
      <c r="E9" s="62" t="str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/>
      </c>
      <c r="F9" s="62" t="str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/>
      </c>
      <c r="G9" s="69" t="str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/>
      </c>
      <c r="H9" s="62" t="str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/>
      </c>
      <c r="I9" s="62" t="str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/>
      </c>
      <c r="J9" s="62" t="str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/>
      </c>
      <c r="K9" s="62" t="str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/>
      </c>
      <c r="L9" s="62" t="str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/>
      </c>
      <c r="M9" s="62" t="str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/>
      </c>
      <c r="N9" s="62" t="str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/>
      </c>
      <c r="O9" s="62" t="str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/>
      </c>
      <c r="P9" s="62" t="str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/>
      </c>
      <c r="Q9" s="62" t="str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/>
      </c>
      <c r="R9" s="62" t="str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/>
      </c>
      <c r="S9" s="62" t="str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/>
      </c>
      <c r="T9" s="62" t="str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/>
      </c>
      <c r="U9" s="62" t="str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/>
      </c>
      <c r="V9" s="62" t="str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/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0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43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0.66448185128859394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4.8660104464121869E-2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3.0915844774187934E-2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7.8659974401115829E-2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4.3512286916657296E-2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7.6136516803905083E-2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8.7052242808546287E-3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1.8380575536142387E-4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3.3245228979310128E-2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2.543569365942092E-3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1.295559296994959E-2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7.4259567813994912E-2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7.0343525856007991E-2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6.9343525856007976E-2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6.7343525856007974E-2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1.3880820938306894E-2</v>
      </c>
      <c r="AB10" s="2">
        <f>SUMIFS(PERSALDATA!$G$2:$G$20871,PERSALDATA!$A$2:$A$20871,WORKING!A10,PERSALDATA!$D$2:$D$20871,WORKING!B10,PERSALDATA!$E$2:$E$20871,WORKING!C10,PERSALDATA!$F$2:$F$20871,"S&amp;W: BASIC SALARY (RES)")</f>
        <v>6</v>
      </c>
      <c r="AC10" s="2">
        <f>SUMIFS(PERSALDATA!$H$2:$H$20871,PERSALDATA!$A$2:$A$20871,WORKING!A10,PERSALDATA!$D$2:$D$20871,WORKING!B10,PERSALDATA!$E$2:$E$20871,WORKING!C10)</f>
        <v>2125123.8800000004</v>
      </c>
    </row>
    <row r="11" spans="1:29" x14ac:dyDescent="0.25">
      <c r="A11" s="2">
        <f>Results!$D$3</f>
        <v>43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0.81737293846557524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0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2.9299729943303935E-2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0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4.6879567909286296E-2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0.10625796654231283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1.8979713952162438E-4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7.4429534475038903E-2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7.0410196219206272E-2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6.9410196219206244E-2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6.7410196219206256E-2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1.385446357511832E-2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92151.02</v>
      </c>
    </row>
    <row r="12" spans="1:29" x14ac:dyDescent="0.25">
      <c r="A12" s="2">
        <f>Results!$D$3</f>
        <v>43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0.77653087191572356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6.4950965281067433E-2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2.6214765534651598E-2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3.1218873000043983E-2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0.10094867352800937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0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1.3585074050401672E-4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0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7.4444742041367085E-2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7.0206135439654149E-2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6.9206135439654135E-2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6.7206135439654133E-2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1.4136457660872006E-2</v>
      </c>
      <c r="AB12" s="2">
        <f>SUMIFS(PERSALDATA!$G$2:$G$20871,PERSALDATA!$A$2:$A$20871,WORKING!A12,PERSALDATA!$D$2:$D$20871,WORKING!B12,PERSALDATA!$E$2:$E$20871,WORKING!C12,PERSALDATA!$F$2:$F$20871,"S&amp;W: BASIC SALARY (RES)")</f>
        <v>1</v>
      </c>
      <c r="AC12" s="2">
        <f>SUMIFS(PERSALDATA!$H$2:$H$20871,PERSALDATA!$A$2:$A$20871,WORKING!A12,PERSALDATA!$D$2:$D$20871,WORKING!B12,PERSALDATA!$E$2:$E$20871,WORKING!C12)</f>
        <v>514976.95</v>
      </c>
    </row>
    <row r="13" spans="1:29" x14ac:dyDescent="0.25">
      <c r="A13" s="2">
        <f>Results!$D$3</f>
        <v>43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0.67246205661327363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4.2382453835007182E-2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2.3081608658280153E-2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2.2113875665011176E-2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2.1401300379894617E-2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8.7419713252146911E-2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2.8074065637119984E-2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1.0860152863869926E-4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6.0846605614864338E-2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3.0819164867982949E-2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1.1290553947780243E-2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1.4331127341497796E-2</v>
      </c>
      <c r="AB13" s="2">
        <f>SUMIFS(PERSALDATA!$G$2:$G$20871,PERSALDATA!$A$2:$A$20871,WORKING!A13,PERSALDATA!$D$2:$D$20871,WORKING!B13,PERSALDATA!$E$2:$E$20871,WORKING!C13,PERSALDATA!$F$2:$F$20871,"S&amp;W: BASIC SALARY (RES)")</f>
        <v>5</v>
      </c>
      <c r="AC13" s="2">
        <f>SUMIFS(PERSALDATA!$H$2:$H$20871,PERSALDATA!$A$2:$A$20871,WORKING!A13,PERSALDATA!$D$2:$D$20871,WORKING!B13,PERSALDATA!$E$2:$E$20871,WORKING!C13)</f>
        <v>3435679.0800000005</v>
      </c>
    </row>
    <row r="14" spans="1:29" x14ac:dyDescent="0.25">
      <c r="A14" s="2">
        <f>Results!$D$3</f>
        <v>43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0.60108786914632539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8.5508346609054903E-2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1.9192828217107799E-2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7.8141267482098598E-2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8.3503125750551102E-5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0.11018418526505605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0.10580200015460663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1.4710855029857122E-2</v>
      </c>
      <c r="AB14" s="2">
        <f>SUMIFS(PERSALDATA!$G$2:$G$20871,PERSALDATA!$A$2:$A$20871,WORKING!A14,PERSALDATA!$D$2:$D$20871,WORKING!B14,PERSALDATA!$E$2:$E$20871,WORKING!C14,PERSALDATA!$F$2:$F$20871,"S&amp;W: BASIC SALARY (RES)")</f>
        <v>1</v>
      </c>
      <c r="AC14" s="2">
        <f>SUMIFS(PERSALDATA!$H$2:$H$20871,PERSALDATA!$A$2:$A$20871,WORKING!A14,PERSALDATA!$D$2:$D$20871,WORKING!B14,PERSALDATA!$E$2:$E$20871,WORKING!C14)</f>
        <v>488724.22</v>
      </c>
    </row>
    <row r="15" spans="1:29" x14ac:dyDescent="0.25">
      <c r="A15" s="2">
        <f>Results!$D$3</f>
        <v>43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0.6060947959596803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4.6206888695061697E-2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4.9657074656461282E-3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3.5753093752652126E-3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6.7519058216281166E-2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4.6561121575213107E-3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7.3179355048590014E-5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0.24237661727695395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1.5294806596777396E-2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9.2375249017642713E-3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1.4870787057060601E-2</v>
      </c>
      <c r="AB15" s="2">
        <f>SUMIFS(PERSALDATA!$G$2:$G$20871,PERSALDATA!$A$2:$A$20871,WORKING!A15,PERSALDATA!$D$2:$D$20871,WORKING!B15,PERSALDATA!$E$2:$E$20871,WORKING!C15,PERSALDATA!$F$2:$F$20871,"S&amp;W: BASIC SALARY (RES)")</f>
        <v>8</v>
      </c>
      <c r="AC15" s="2">
        <f>SUMIFS(PERSALDATA!$H$2:$H$20871,PERSALDATA!$A$2:$A$20871,WORKING!A15,PERSALDATA!$D$2:$D$20871,WORKING!B15,PERSALDATA!$E$2:$E$20871,WORKING!C15)</f>
        <v>7249722.2700000005</v>
      </c>
    </row>
    <row r="16" spans="1:29" x14ac:dyDescent="0.25">
      <c r="A16" s="2">
        <f>Results!$D$3</f>
        <v>43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0.5582804322674243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4.6289469550354713E-2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4.2839210714503244E-2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1.1092387334371494E-2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7.2576326312837836E-2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3.7730370365526636E-2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5.9878350147579447E-5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0.19915552097496195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9.2684770404250702E-3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2.2707927089447043E-2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1.4190127854014663E-2</v>
      </c>
      <c r="AB16" s="2">
        <f>SUMIFS(PERSALDATA!$G$2:$G$20871,PERSALDATA!$A$2:$A$20871,WORKING!A16,PERSALDATA!$D$2:$D$20871,WORKING!B16,PERSALDATA!$E$2:$E$20871,WORKING!C16,PERSALDATA!$F$2:$F$20871,"S&amp;W: BASIC SALARY (RES)")</f>
        <v>2</v>
      </c>
      <c r="AC16" s="2">
        <f>SUMIFS(PERSALDATA!$H$2:$H$20871,PERSALDATA!$A$2:$A$20871,WORKING!A16,PERSALDATA!$D$2:$D$20871,WORKING!B16,PERSALDATA!$E$2:$E$20871,WORKING!C16)</f>
        <v>2336737.7300000004</v>
      </c>
    </row>
    <row r="17" spans="1:29" x14ac:dyDescent="0.25">
      <c r="A17" s="2">
        <f>Results!$D$3</f>
        <v>43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0.59996907934642507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1.5549179240275988E-2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7.7995808533626504E-2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5.1800979983319427E-5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0.30643413189968904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1.4765985296696107E-2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1012915.2</v>
      </c>
    </row>
    <row r="18" spans="1:29" x14ac:dyDescent="0.25">
      <c r="A18" s="2">
        <f>Results!$D$3</f>
        <v>43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0.63212954625788487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2.2506732675397011E-2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1.0001581820688917E-2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0.10244676036984118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2.2426623851775531E-5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0.23289295225233622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1.4849639873331889E-2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3119506.55</v>
      </c>
    </row>
    <row r="19" spans="1:29" x14ac:dyDescent="0.25">
      <c r="A19" s="2">
        <f>Results!$D$3</f>
        <v>43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43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1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51007.770000000004</v>
      </c>
    </row>
    <row r="21" spans="1:29" x14ac:dyDescent="0.25">
      <c r="A21" s="2">
        <f>Results!$D$3</f>
        <v>43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43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43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43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43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0.71863835840830048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6.3952330541544603E-2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5.0186652754573048E-2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4.6329867909918341E-3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6.3271748337978481E-2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9.3422152434233185E-2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5.5973201241575734E-3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2.9845060822063766E-4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7.3071618867384142E-2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7.0447209697523938E-2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6.9447209697523937E-2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6.7447209697523935E-2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1.3293647224488413E-2</v>
      </c>
      <c r="AB25" s="2">
        <f>SUMIFS(PERSALDATA!$G$2:$G$20871,PERSALDATA!$A$2:$A$20871,WORKING!A25,PERSALDATA!$D$2:$D$20871,WORKING!B25,PERSALDATA!$E$2:$E$20871,WORKING!C25,PERSALDATA!$F$2:$F$20871,"S&amp;W: BASIC SALARY (RES)")</f>
        <v>5</v>
      </c>
      <c r="AC25" s="2">
        <f>SUMIFS(PERSALDATA!$H$2:$H$20871,PERSALDATA!$A$2:$A$20871,WORKING!A25,PERSALDATA!$D$2:$D$20871,WORKING!B25,PERSALDATA!$E$2:$E$20871,WORKING!C25)</f>
        <v>1093916.3500000001</v>
      </c>
    </row>
    <row r="26" spans="1:29" x14ac:dyDescent="0.25">
      <c r="A26" s="2">
        <f>Results!$D$3</f>
        <v>43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43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0.74106277073707993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6.198451833924358E-2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1.6819204391830652E-2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1.0205519464865243E-2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3.2297185048825575E-2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9.6337498927955414E-2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4.109216265613936E-2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2.0114043406025165E-4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7.5173901056904441E-2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7.0316265731814084E-2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6.9316265731814097E-2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6.7316265731814082E-2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1.4260237051879255E-2</v>
      </c>
      <c r="AB27" s="2">
        <f>SUMIFS(PERSALDATA!$G$2:$G$20871,PERSALDATA!$A$2:$A$20871,WORKING!A27,PERSALDATA!$D$2:$D$20871,WORKING!B27,PERSALDATA!$E$2:$E$20871,WORKING!C27,PERSALDATA!$F$2:$F$20871,"S&amp;W: BASIC SALARY (RES)")</f>
        <v>2</v>
      </c>
      <c r="AC27" s="2">
        <f>SUMIFS(PERSALDATA!$H$2:$H$20871,PERSALDATA!$A$2:$A$20871,WORKING!A27,PERSALDATA!$D$2:$D$20871,WORKING!B27,PERSALDATA!$E$2:$E$20871,WORKING!C27)</f>
        <v>695633.38</v>
      </c>
    </row>
    <row r="28" spans="1:29" x14ac:dyDescent="0.25">
      <c r="A28" s="2">
        <f>Results!$D$3</f>
        <v>43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0.74122855208876592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6.193469262788931E-2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3.1649420633618232E-2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2.5605553493361359E-3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4.6286105475902457E-2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9.6359269265751085E-2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1.9817390227808835E-2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1.6401433092799492E-4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0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7.4242649508507633E-2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7.0377797375802353E-2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6.9377797375802353E-2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6.7377797375802351E-2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1.382850689339327E-2</v>
      </c>
      <c r="AB28" s="2">
        <f>SUMIFS(PERSALDATA!$G$2:$G$20871,PERSALDATA!$A$2:$A$20871,WORKING!A28,PERSALDATA!$D$2:$D$20871,WORKING!B28,PERSALDATA!$E$2:$E$20871,WORKING!C28,PERSALDATA!$F$2:$F$20871,"S&amp;W: BASIC SALARY (RES)")</f>
        <v>4</v>
      </c>
      <c r="AC28" s="2">
        <f>SUMIFS(PERSALDATA!$H$2:$H$20871,PERSALDATA!$A$2:$A$20871,WORKING!A28,PERSALDATA!$D$2:$D$20871,WORKING!B28,PERSALDATA!$E$2:$E$20871,WORKING!C28)</f>
        <v>1706192.37</v>
      </c>
    </row>
    <row r="29" spans="1:29" x14ac:dyDescent="0.25">
      <c r="A29" s="2">
        <f>Results!$D$3</f>
        <v>43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43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0.71649481529618209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5.8160881263975596E-2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2.3519893440492476E-2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1.5682404571807176E-3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1.5630020632914549E-2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9.314397482796663E-2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2.6929261998412959E-2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1.1430789418017347E-4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6.4438604188694598E-2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1.4411036670486189E-2</v>
      </c>
      <c r="AB30" s="2">
        <f>SUMIFS(PERSALDATA!$G$2:$G$20871,PERSALDATA!$A$2:$A$20871,WORKING!A30,PERSALDATA!$D$2:$D$20871,WORKING!B30,PERSALDATA!$E$2:$E$20871,WORKING!C30,PERSALDATA!$F$2:$F$20871,"S&amp;W: BASIC SALARY (RES)")</f>
        <v>8</v>
      </c>
      <c r="AC30" s="2">
        <f>SUMIFS(PERSALDATA!$H$2:$H$20871,PERSALDATA!$A$2:$A$20871,WORKING!A30,PERSALDATA!$D$2:$D$20871,WORKING!B30,PERSALDATA!$E$2:$E$20871,WORKING!C30)</f>
        <v>5049257.5700000012</v>
      </c>
    </row>
    <row r="31" spans="1:29" x14ac:dyDescent="0.25">
      <c r="A31" s="2">
        <f>Results!$D$3</f>
        <v>43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43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0.61210708921911283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3.6553783930767594E-2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7.5698420054562565E-2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1.3959787402065837E-2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7.9573710803567677E-2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6.0339216452217868E-3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7.5488472941627626E-5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0.17599779847176011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1.3653994561056449E-2</v>
      </c>
      <c r="AB32" s="2">
        <f>SUMIFS(PERSALDATA!$G$2:$G$20871,PERSALDATA!$A$2:$A$20871,WORKING!A32,PERSALDATA!$D$2:$D$20871,WORKING!B32,PERSALDATA!$E$2:$E$20871,WORKING!C32,PERSALDATA!$F$2:$F$20871,"S&amp;W: BASIC SALARY (RES)")</f>
        <v>7</v>
      </c>
      <c r="AC32" s="2">
        <f>SUMIFS(PERSALDATA!$H$2:$H$20871,PERSALDATA!$A$2:$A$20871,WORKING!A32,PERSALDATA!$D$2:$D$20871,WORKING!B32,PERSALDATA!$E$2:$E$20871,WORKING!C32)</f>
        <v>6487348.0800000001</v>
      </c>
    </row>
    <row r="33" spans="1:29" x14ac:dyDescent="0.25">
      <c r="A33" s="2">
        <f>Results!$D$3</f>
        <v>43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0.67395157037926134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4.2519814962532085E-2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2.1546059348849404E-2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6.0328966176778328E-3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6.3656326366402338E-2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6.2806763001896007E-5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0.19223052556227513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1.4585373559057063E-2</v>
      </c>
      <c r="AB33" s="2">
        <f>SUMIFS(PERSALDATA!$G$2:$G$20871,PERSALDATA!$A$2:$A$20871,WORKING!A33,PERSALDATA!$D$2:$D$20871,WORKING!B33,PERSALDATA!$E$2:$E$20871,WORKING!C33,PERSALDATA!$F$2:$F$20871,"S&amp;W: BASIC SALARY (RES)")</f>
        <v>4</v>
      </c>
      <c r="AC33" s="2">
        <f>SUMIFS(PERSALDATA!$H$2:$H$20871,PERSALDATA!$A$2:$A$20871,WORKING!A33,PERSALDATA!$D$2:$D$20871,WORKING!B33,PERSALDATA!$E$2:$E$20871,WORKING!C33)</f>
        <v>4455571.13</v>
      </c>
    </row>
    <row r="34" spans="1:29" x14ac:dyDescent="0.25">
      <c r="A34" s="2">
        <f>Results!$D$3</f>
        <v>43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43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43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43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43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43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43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0.65430494242094639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2.6558067794624902E-2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3.8851777447233893E-2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6.7675594565298272E-2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0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4.1896202727999148E-2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4.8375125135099874E-2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4.0267708891977529E-4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0.12193561281987786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0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7.3047264914010229E-2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6.9611482225527682E-2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6.8611482225527667E-2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6.6611482225527666E-2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1.4411183181957696E-2</v>
      </c>
      <c r="AB40" s="2">
        <f>SUMIFS(PERSALDATA!$G$2:$G$20871,PERSALDATA!$A$2:$A$20871,WORKING!A40,PERSALDATA!$D$2:$D$20871,WORKING!B40,PERSALDATA!$E$2:$E$20871,WORKING!C40,PERSALDATA!$F$2:$F$20871,"S&amp;W: BASIC SALARY (RES)")</f>
        <v>2</v>
      </c>
      <c r="AC40" s="2">
        <f>SUMIFS(PERSALDATA!$H$2:$H$20871,PERSALDATA!$A$2:$A$20871,WORKING!A40,PERSALDATA!$D$2:$D$20871,WORKING!B40,PERSALDATA!$E$2:$E$20871,WORKING!C40)</f>
        <v>347474.44999999995</v>
      </c>
    </row>
    <row r="41" spans="1:29" x14ac:dyDescent="0.25">
      <c r="A41" s="2">
        <f>Results!$D$3</f>
        <v>43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0.7720401306672604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5.9817158884343524E-2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6.73939990096937E-2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0.10036455235164513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3.8415908705722836E-4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7.2397411910925594E-2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7.041273839630198E-2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6.9412738396301965E-2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6.7412738396301977E-2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1.3086070245283582E-2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15045.85</v>
      </c>
    </row>
    <row r="42" spans="1:29" x14ac:dyDescent="0.25">
      <c r="A42" s="2">
        <f>Results!$D$3</f>
        <v>43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0.71675336687224955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5.186578269159195E-2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4.6654915007918324E-2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1.4914609026815402E-3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4.1556542852413843E-2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8.0780794211908938E-2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9.6725418707687815E-3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2.9910449978959595E-4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3.5021135184198124E-2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1.5904355906479373E-2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7.3036018059332006E-2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7.0156798992707034E-2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6.9156798992707033E-2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6.7156798992707031E-2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1.3672341564598173E-2</v>
      </c>
      <c r="AB42" s="2">
        <f>SUMIFS(PERSALDATA!$G$2:$G$20871,PERSALDATA!$A$2:$A$20871,WORKING!A42,PERSALDATA!$D$2:$D$20871,WORKING!B42,PERSALDATA!$E$2:$E$20871,WORKING!C42,PERSALDATA!$F$2:$F$20871,"S&amp;W: BASIC SALARY (RES)")</f>
        <v>8</v>
      </c>
      <c r="AC42" s="2">
        <f>SUMIFS(PERSALDATA!$H$2:$H$20871,PERSALDATA!$A$2:$A$20871,WORKING!A42,PERSALDATA!$D$2:$D$20871,WORKING!B42,PERSALDATA!$E$2:$E$20871,WORKING!C42)</f>
        <v>1871185.49</v>
      </c>
    </row>
    <row r="43" spans="1:29" x14ac:dyDescent="0.25">
      <c r="A43" s="2">
        <f>Results!$D$3</f>
        <v>43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0.88495895265994007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0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0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0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0.11504104734006004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0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0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7.5999999999999998E-2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7.0000000000000021E-2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6.900000000000002E-2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6.7000000000000004E-2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1.4999999999999999E-2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4147.6499999999996</v>
      </c>
    </row>
    <row r="44" spans="1:29" x14ac:dyDescent="0.25">
      <c r="A44" s="2">
        <f>Results!$D$3</f>
        <v>43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43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43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43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0.8496308618504933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2.9315052707232944E-2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1.5321095861276971E-2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4.5562416906945215E-2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5.4798766178677753E-5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6.0115773907872969E-2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1.4769361580588166E-2</v>
      </c>
      <c r="AB47" s="2">
        <f>SUMIFS(PERSALDATA!$G$2:$G$20871,PERSALDATA!$A$2:$A$20871,WORKING!A47,PERSALDATA!$D$2:$D$20871,WORKING!B47,PERSALDATA!$E$2:$E$20871,WORKING!C47,PERSALDATA!$F$2:$F$20871,"S&amp;W: BASIC SALARY (RES)")</f>
        <v>2</v>
      </c>
      <c r="AC47" s="2">
        <f>SUMIFS(PERSALDATA!$H$2:$H$20871,PERSALDATA!$A$2:$A$20871,WORKING!A47,PERSALDATA!$D$2:$D$20871,WORKING!B47,PERSALDATA!$E$2:$E$20871,WORKING!C47)</f>
        <v>1276671.0799999998</v>
      </c>
    </row>
    <row r="48" spans="1:29" x14ac:dyDescent="0.25">
      <c r="A48" s="2">
        <f>Results!$D$3</f>
        <v>43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0.92670266961797421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1.4281609151097508E-2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7.1792232422149601E-3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2.2196949821878764E-2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6.7675787254660677E-5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2.9571872379579794E-2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1.4891296514557955E-2</v>
      </c>
      <c r="AB48" s="2">
        <f>SUMIFS(PERSALDATA!$G$2:$G$20871,PERSALDATA!$A$2:$A$20871,WORKING!A48,PERSALDATA!$D$2:$D$20871,WORKING!B48,PERSALDATA!$E$2:$E$20871,WORKING!C48,PERSALDATA!$F$2:$F$20871,"S&amp;W: BASIC SALARY (RES)")</f>
        <v>4</v>
      </c>
      <c r="AC48" s="2">
        <f>SUMIFS(PERSALDATA!$H$2:$H$20871,PERSALDATA!$A$2:$A$20871,WORKING!A48,PERSALDATA!$D$2:$D$20871,WORKING!B48,PERSALDATA!$E$2:$E$20871,WORKING!C48)</f>
        <v>3359694.9400000004</v>
      </c>
    </row>
    <row r="49" spans="1:29" x14ac:dyDescent="0.25">
      <c r="A49" s="2">
        <f>Results!$D$3</f>
        <v>43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0.82901055319086103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2.0348944900035425E-2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1.6082314819562817E-2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7.4621940762771479E-3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4.2674513506827251E-2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7.8133246165042674E-5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8.4343346260271179E-2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1.4645660367869923E-2</v>
      </c>
      <c r="AB49" s="2">
        <f>SUMIFS(PERSALDATA!$G$2:$G$20871,PERSALDATA!$A$2:$A$20871,WORKING!A49,PERSALDATA!$D$2:$D$20871,WORKING!B49,PERSALDATA!$E$2:$E$20871,WORKING!C49,PERSALDATA!$F$2:$F$20871,"S&amp;W: BASIC SALARY (RES)")</f>
        <v>4</v>
      </c>
      <c r="AC49" s="2">
        <f>SUMIFS(PERSALDATA!$H$2:$H$20871,PERSALDATA!$A$2:$A$20871,WORKING!A49,PERSALDATA!$D$2:$D$20871,WORKING!B49,PERSALDATA!$E$2:$E$20871,WORKING!C49)</f>
        <v>3730806.2100000004</v>
      </c>
    </row>
    <row r="50" spans="1:29" x14ac:dyDescent="0.25">
      <c r="A50" s="2">
        <f>Results!$D$3</f>
        <v>43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0.63742902239373922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4.7450026994902E-2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3.6671034725326374E-2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1.3610192602342561E-2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8.2865607018409962E-2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1.8314562485677286E-2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6.1083466413900785E-5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0.15584320130868795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7.7552690045007188E-3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1.4244865338088757E-2</v>
      </c>
      <c r="AB50" s="2">
        <f>SUMIFS(PERSALDATA!$G$2:$G$20871,PERSALDATA!$A$2:$A$20871,WORKING!A50,PERSALDATA!$D$2:$D$20871,WORKING!B50,PERSALDATA!$E$2:$E$20871,WORKING!C50,PERSALDATA!$F$2:$F$20871,"S&amp;W: BASIC SALARY (RES)")</f>
        <v>2</v>
      </c>
      <c r="AC50" s="2">
        <f>SUMIFS(PERSALDATA!$H$2:$H$20871,PERSALDATA!$A$2:$A$20871,WORKING!A50,PERSALDATA!$D$2:$D$20871,WORKING!B50,PERSALDATA!$E$2:$E$20871,WORKING!C50)</f>
        <v>2290636.21</v>
      </c>
    </row>
    <row r="51" spans="1:29" x14ac:dyDescent="0.25">
      <c r="A51" s="2">
        <f>Results!$D$3</f>
        <v>43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43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43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43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43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43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43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43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43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43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43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43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43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43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43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43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43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43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43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43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43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43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43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43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43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43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43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43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43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43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43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43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43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43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43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43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43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43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43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43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43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43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43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43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43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43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43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43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43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43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43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43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43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43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43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43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43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43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43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43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43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43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43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43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43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43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43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43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43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43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43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43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43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43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43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43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43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43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43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43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43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43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43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43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43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43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43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43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43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43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43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43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43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43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43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43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43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43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43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43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43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43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43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43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43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43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43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43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43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43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43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43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43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43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43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43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43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43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43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43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43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43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43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43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43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43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43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43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43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43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43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43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43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43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43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43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43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43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43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43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43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43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43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43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43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43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43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43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43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43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43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43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43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43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43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43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43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43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43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43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43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43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43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43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43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43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43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43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43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43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43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43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43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43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43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43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43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43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43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43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43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43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43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43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43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43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43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43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43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43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43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43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43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43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43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43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43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43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43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43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43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43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43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43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43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43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43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43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43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43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43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43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43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43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43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43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43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43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43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43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43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43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43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43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43</v>
      </c>
      <c r="E3" s="74" t="str">
        <f>INDEX(MAPs!$I$7:$J$54,MATCH(Results!$D$3,MAPs!$I$7:$I$54,0),2)</f>
        <v>Traditional Affairs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15.726315789473684</v>
      </c>
      <c r="N9" s="148">
        <f>IFERROR(SUMIFS('Employee Profile (2)'!C$4:C$50,'Employee Profile (2)'!$B$4:$B$50,Results!$D$3),"")</f>
        <v>0.18947368421052632</v>
      </c>
      <c r="O9" s="150" t="s">
        <v>620</v>
      </c>
      <c r="P9" s="143">
        <f>IFERROR(INDEX('Employee Profile (2)'!$AC$4:$AC$50,MATCH(Results!$D$3,'Employee Profile (2)'!$B$4:$B$50,0))*$Q9,"")</f>
        <v>46.305263157894736</v>
      </c>
      <c r="Q9" s="148">
        <f>IFERROR(SUMIFS('Employee Profile (2)'!J$4:J$50,'Employee Profile (2)'!$B$4:$B$50,Results!$D$3),"")</f>
        <v>0.55789473684210522</v>
      </c>
      <c r="R9" s="150" t="s">
        <v>627</v>
      </c>
      <c r="S9" s="144">
        <f>IFERROR(INDEX('Employee Profile (2)'!$AC$4:$AC$50,MATCH(Results!$D$3,'Employee Profile (2)'!$B$4:$B$50,0))*$T9,"")</f>
        <v>0.87368421052631573</v>
      </c>
      <c r="T9" s="147">
        <f>IFERROR(SUMIFS('Employee Profile (2)'!N$4:N$50,'Employee Profile (2)'!$B$4:$B$50,Results!$D$3),"")</f>
        <v>1.0526315789473684E-2</v>
      </c>
      <c r="U9" s="150" t="s">
        <v>632</v>
      </c>
      <c r="V9" s="144">
        <f>IFERROR(INDEX('Employee Profile (2)'!$AC$4:$AC$50,MATCH(Results!$D$3,'Employee Profile (2)'!$B$4:$B$50,0))*$W9,"")</f>
        <v>41.06315789473684</v>
      </c>
      <c r="W9" s="147">
        <f>IFERROR(SUMIFS('Employee Profile (2)'!S$4:S$50,'Employee Profile (2)'!$B$4:$B$50,Results!$D$3),"")</f>
        <v>0.49473684210526314</v>
      </c>
      <c r="X9" s="150" t="s">
        <v>635</v>
      </c>
      <c r="Y9" s="144">
        <f>IFERROR(INDEX('Employee Profile (2)'!$AC$4:$AC$50,MATCH(Results!$D$3,'Employee Profile (2)'!$B$4:$B$50,0))*$Z9,"")</f>
        <v>68.147368421052633</v>
      </c>
      <c r="Z9" s="147">
        <f>IFERROR(SUMIFS('Employee Profile (2)'!V$4:V$50,'Employee Profile (2)'!$B$4:$B$50,Results!$D$3),"")</f>
        <v>0.82105263157894737</v>
      </c>
      <c r="AA9" s="150" t="s">
        <v>675</v>
      </c>
      <c r="AB9" s="144">
        <f>IFERROR(SUMIFS('Employee Profile (2)'!$AD$4:$AD$50,'Employee Profile (2)'!$B$4:$B$50,Results!$D$3),"")</f>
        <v>31</v>
      </c>
      <c r="AC9" s="147">
        <f>IFERROR(SUMIFS('Employee Profile (2)'!$AE$4:$AE$50,'Employee Profile (2)'!$B$4:$B$50,Results!$D$3),"")</f>
        <v>0.37349397590361444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40.189473684210526</v>
      </c>
      <c r="N10" s="148">
        <f>IFERROR(SUMIFS('Employee Profile (2)'!D$4:D$50,'Employee Profile (2)'!$B$4:$B$50,Results!$D$3),"")</f>
        <v>0.48421052631578948</v>
      </c>
      <c r="O10" s="150" t="s">
        <v>621</v>
      </c>
      <c r="P10" s="143">
        <f>IFERROR(INDEX('Employee Profile (2)'!$AC$4:$AC$50,MATCH(Results!$D$3,'Employee Profile (2)'!$B$4:$B$50,0))*$Q10,"")</f>
        <v>26.210526315789473</v>
      </c>
      <c r="Q10" s="148">
        <f>IFERROR(SUMIFS('Employee Profile (2)'!K$4:K$50,'Employee Profile (2)'!$B$4:$B$50,Results!$D$3),"")</f>
        <v>0.31578947368421051</v>
      </c>
      <c r="R10" s="150" t="s">
        <v>628</v>
      </c>
      <c r="S10" s="144">
        <f>IFERROR(INDEX('Employee Profile (2)'!$AC$4:$AC$50,MATCH(Results!$D$3,'Employee Profile (2)'!$B$4:$B$50,0))*$T10,"")</f>
        <v>20.96842105263158</v>
      </c>
      <c r="T10" s="147">
        <f>IFERROR(SUMIFS('Employee Profile (2)'!O$4:O$50,'Employee Profile (2)'!$B$4:$B$50,Results!$D$3),"")</f>
        <v>0.25263157894736843</v>
      </c>
      <c r="U10" s="150" t="s">
        <v>633</v>
      </c>
      <c r="V10" s="144">
        <f>IFERROR(INDEX('Employee Profile (2)'!$AC$4:$AC$50,MATCH(Results!$D$3,'Employee Profile (2)'!$B$4:$B$50,0))*$W10,"")</f>
        <v>32.326315789473682</v>
      </c>
      <c r="W10" s="147">
        <f>IFERROR(SUMIFS('Employee Profile (2)'!T$4:T$50,'Employee Profile (2)'!$B$4:$B$50,Results!$D$3),"")</f>
        <v>0.38947368421052631</v>
      </c>
      <c r="X10" s="150" t="s">
        <v>636</v>
      </c>
      <c r="Y10" s="144">
        <f>IFERROR(INDEX('Employee Profile (2)'!$AC$4:$AC$50,MATCH(Results!$D$3,'Employee Profile (2)'!$B$4:$B$50,0))*$Z10,"")</f>
        <v>0</v>
      </c>
      <c r="Z10" s="147">
        <f>IFERROR(SUMIFS('Employee Profile (2)'!W$4:W$50,'Employee Profile (2)'!$B$4:$B$50,Results!$D$3),"")</f>
        <v>0</v>
      </c>
      <c r="AA10" s="150" t="s">
        <v>676</v>
      </c>
      <c r="AB10" s="144">
        <f>IFERROR(INDEX('Employee Profile (2)'!$AC$4:$AC$50,MATCH(Results!$D$3,'Employee Profile (2)'!$B$4:$B$50))-$AB$9,"")</f>
        <v>52</v>
      </c>
      <c r="AC10" s="147">
        <f>IFERROR(100%-$AC$9,"")</f>
        <v>0.62650602409638556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8.7368421052631575</v>
      </c>
      <c r="N11" s="148">
        <f>IFERROR(SUMIFS('Employee Profile (2)'!E$4:E$50,'Employee Profile (2)'!$B$4:$B$50,Results!$D$3),"")</f>
        <v>0.10526315789473684</v>
      </c>
      <c r="O11" s="150" t="s">
        <v>622</v>
      </c>
      <c r="P11" s="143">
        <f>IFERROR(INDEX('Employee Profile (2)'!$AC$4:$AC$50,MATCH(Results!$D$3,'Employee Profile (2)'!$B$4:$B$50,0))*$Q11,"")</f>
        <v>8.7368421052631575</v>
      </c>
      <c r="Q11" s="148">
        <f>IFERROR(SUMIFS('Employee Profile (2)'!L$4:L$50,'Employee Profile (2)'!$B$4:$B$50,Results!$D$3),"")</f>
        <v>0.10526315789473684</v>
      </c>
      <c r="R11" s="150" t="s">
        <v>629</v>
      </c>
      <c r="S11" s="144">
        <f>IFERROR(INDEX('Employee Profile (2)'!$AC$4:$AC$50,MATCH(Results!$D$3,'Employee Profile (2)'!$B$4:$B$50,0))*$T11,"")</f>
        <v>34.94736842105263</v>
      </c>
      <c r="T11" s="147">
        <f>IFERROR(SUMIFS('Employee Profile (2)'!P$4:P$50,'Employee Profile (2)'!$B$4:$B$50,Results!$D$3),"")</f>
        <v>0.42105263157894735</v>
      </c>
      <c r="U11" s="150" t="s">
        <v>53</v>
      </c>
      <c r="V11" s="144">
        <f>IFERROR(INDEX('Employee Profile (2)'!$AC$4:$AC$50,MATCH(Results!$D$3,'Employee Profile (2)'!$B$4:$B$50,0))*$W11,"")</f>
        <v>9.6105263157894729</v>
      </c>
      <c r="W11" s="147">
        <f>IFERROR(SUMIFS('Employee Profile (2)'!U$4:U$50,'Employee Profile (2)'!$B$4:$B$50,Results!$D$3),"")</f>
        <v>0.11578947368421053</v>
      </c>
      <c r="X11" s="150" t="s">
        <v>637</v>
      </c>
      <c r="Y11" s="144">
        <f>IFERROR(INDEX('Employee Profile (2)'!$AC$4:$AC$50,MATCH(Results!$D$3,'Employee Profile (2)'!$B$4:$B$50,0))*$Z11,"")</f>
        <v>1.7473684210526315</v>
      </c>
      <c r="Z11" s="147">
        <f>IFERROR(SUMIFS('Employee Profile (2)'!X$4:X$50,'Employee Profile (2)'!$B$4:$B$50,Results!$D$3),"")</f>
        <v>2.1052631578947368E-2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4.3684210526315788</v>
      </c>
      <c r="N12" s="148">
        <f>IFERROR(SUMIFS('Employee Profile (2)'!F$4:F$50,'Employee Profile (2)'!$B$4:$B$50,Results!$D$3),"")</f>
        <v>5.2631578947368418E-2</v>
      </c>
      <c r="O12" s="150" t="s">
        <v>623</v>
      </c>
      <c r="P12" s="143">
        <f>IFERROR(INDEX('Employee Profile (2)'!$AC$4:$AC$50,MATCH(Results!$D$3,'Employee Profile (2)'!$B$4:$B$50,0))*$Q12,"")</f>
        <v>1.7473684210526315</v>
      </c>
      <c r="Q12" s="148">
        <f>IFERROR(SUMIFS('Employee Profile (2)'!M$4:M$50,'Employee Profile (2)'!$B$4:$B$50,Results!$D$3),"")</f>
        <v>2.1052631578947368E-2</v>
      </c>
      <c r="R12" s="150" t="s">
        <v>630</v>
      </c>
      <c r="S12" s="144">
        <f>IFERROR(INDEX('Employee Profile (2)'!$AC$4:$AC$50,MATCH(Results!$D$3,'Employee Profile (2)'!$B$4:$B$50,0))*$T12,"")</f>
        <v>6.1157894736842113</v>
      </c>
      <c r="T12" s="147">
        <f>IFERROR(SUMIFS('Employee Profile (2)'!Q$4:Q$50,'Employee Profile (2)'!$B$4:$B$50,Results!$D$3),"")</f>
        <v>7.3684210526315796E-2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3.4947368421052629</v>
      </c>
      <c r="Z12" s="147">
        <f>IFERROR(SUMIFS('Employee Profile (2)'!Y$4:Y$50,'Employee Profile (2)'!$B$4:$B$50,Results!$D$3),"")</f>
        <v>4.2105263157894736E-2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2</v>
      </c>
      <c r="H13" s="158">
        <v>0</v>
      </c>
      <c r="I13" s="158">
        <v>2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4.3684210526315788</v>
      </c>
      <c r="N13" s="148">
        <f>IFERROR(SUMIFS('Employee Profile (2)'!G$4:G$50,'Employee Profile (2)'!$B$4:$B$50,Results!$D$3),"")</f>
        <v>5.2631578947368418E-2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20.094736842105263</v>
      </c>
      <c r="T13" s="147">
        <f>IFERROR(SUMIFS('Employee Profile (2)'!R$4:R$50,'Employee Profile (2)'!$B$4:$B$50,Results!$D$3),"")</f>
        <v>0.24210526315789474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9.6105263157894729</v>
      </c>
      <c r="Z13" s="147">
        <f>IFERROR(SUMIFS('Employee Profile (2)'!Z$4:Z$50,'Employee Profile (2)'!$B$4:$B$50,Results!$D$3),"")</f>
        <v>0.11578947368421053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2</v>
      </c>
      <c r="H15" s="112">
        <f t="shared" ref="H15:J15" si="0">SUM(H9:H14)</f>
        <v>0</v>
      </c>
      <c r="I15" s="112">
        <f t="shared" si="0"/>
        <v>2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9.6105263157894729</v>
      </c>
      <c r="N15" s="148">
        <f>IFERROR(SUMIFS('Employee Profile (2)'!I$4:I$50,'Employee Profile (2)'!$B$4:$B$50,Results!$D$3),"")</f>
        <v>0.11578947368421053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2</v>
      </c>
      <c r="H16" s="82">
        <f>SUMIFS($W$64:$W$509,$C$64:$C$509,"Total")</f>
        <v>0</v>
      </c>
      <c r="I16" s="82">
        <f>SUMIFS($AE$64:$AE$509,$C$64:$C$509,"Total")</f>
        <v>2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24</v>
      </c>
      <c r="G29" s="87">
        <f t="shared" ref="G29:G44" si="4">SUMIFS($K$64:$K$509,$A$64:$A$509,B29,$C$64:$C$509,"Total")</f>
        <v>790.29166666666663</v>
      </c>
      <c r="H29" s="83">
        <f t="shared" ref="H29:H44" si="5">SUMIFS($J$64:$J$509,$A$64:$A$509,B29,$C$64:$C$509,"Total")</f>
        <v>18967</v>
      </c>
      <c r="I29" s="21">
        <f t="shared" ref="I29:I44" si="6">-SUMIFS($O$64:$O$509,$A$64:$A$509,$B29,$C$64:$C$509,"Total")+SUMIFS($N$64:$N$509,$A$64:$A$509,$B29,$C$64:$C$509,"Total")</f>
        <v>5</v>
      </c>
      <c r="J29" s="88">
        <f t="shared" ref="J29:J44" si="7">SUMIFS($P$64:$P$509,$A$64:$A$509,$B29,$C$64:$C$509,"Total")</f>
        <v>29</v>
      </c>
      <c r="K29" s="88">
        <f t="shared" ref="K29:K44" si="8">SUMIFS($M$64:$M$509,$A$64:$A$509,$B29,$C$64:$C$509,"Total")</f>
        <v>784.04998302369791</v>
      </c>
      <c r="L29" s="88">
        <f t="shared" ref="L29:L44" si="9">SUMIFS($R$64:$R$509,$A$64:$A$509,$B29,$C$64:$C$509,"Total")+SUMIFS($Q$64:$Q$509,$A$64:$A$509,$B29,$C$64:$C$509,"Total")</f>
        <v>2704.3804474481908</v>
      </c>
      <c r="M29" s="88">
        <f t="shared" ref="M29:M44" si="10">SUMIFS($S$64:$S$509,$A$64:$A$509,$B29,$C$64:$C$509,"Total")</f>
        <v>22737.449507687241</v>
      </c>
      <c r="N29" s="88">
        <f t="shared" ref="N29:N44" si="11">SUMIFS($S$64:$S$509,$A$64:$A$509,$B29,$C$64:$C$509,"Compensation Budget")</f>
        <v>19559</v>
      </c>
      <c r="O29" s="89">
        <f t="shared" ref="O29:O44" si="12">SUMIFS($S$64:$S$509,$A$64:$A$509,$B29,$C$64:$C$509,"Under/(Over)")</f>
        <v>-3178.4495076872408</v>
      </c>
      <c r="P29" s="21">
        <f t="shared" ref="P29:P44" si="13">-SUMIFS($W$64:$W$509,$A$64:$A$509,$B29,$C$64:$C$509,"Total")+SUMIFS($V$64:$V$509,$A$64:$A$509,$B29,$C$64:$C$509,"Total")</f>
        <v>3</v>
      </c>
      <c r="Q29" s="88">
        <f t="shared" ref="Q29:Q44" si="14">SUMIFS($X$64:$X$509,$A$64:$A$509,$B29,$C$64:$C$509,"Total")</f>
        <v>32</v>
      </c>
      <c r="R29" s="88">
        <f t="shared" ref="R29:R44" si="15">SUMIFS($U$64:$U$509,$A$64:$A$509,$B29,$C$64:$C$509,"Total")</f>
        <v>814.36793763395212</v>
      </c>
      <c r="S29" s="88">
        <f t="shared" ref="S29:S44" si="16">SUMIFS($Z$64:$Z$509,$A$64:$A$509,$B29,$C$64:$C$509,"Total")+SUMIFS($Y$64:$Y$509,$A$64:$A$509,$B29,$C$64:$C$509,"Total")</f>
        <v>1506.7048901485123</v>
      </c>
      <c r="T29" s="88">
        <f t="shared" ref="T29:T44" si="17">SUMIFS($AA$64:$AA$509,$A$64:$A$509,$B29,$C$64:$C$509,"Total")</f>
        <v>26059.774004286468</v>
      </c>
      <c r="U29" s="88">
        <f t="shared" ref="U29:U44" si="18">SUMIFS($AA$64:$AA$509,$A$64:$A$509,$B29,$C$64:$C$509,"Compensation Budget")</f>
        <v>24529</v>
      </c>
      <c r="V29" s="89">
        <f t="shared" ref="V29:V44" si="19">SUMIFS($AA$64:$AA$509,$A$64:$A$509,$B29,$C$64:$C$509,"Under/(Over)")</f>
        <v>-1530.774004286468</v>
      </c>
      <c r="W29" s="21">
        <f t="shared" ref="W29:W44" si="20">-SUMIFS($AE$64:$AE$509,$A$64:$A$509,$B29,$C$64:$C$509,"Total")+SUMIFS($AD$64:$AD$509,$A$64:$A$509,$B29,$C$64:$C$509,"Total")</f>
        <v>1</v>
      </c>
      <c r="X29" s="88">
        <f t="shared" ref="X29:X44" si="21">SUMIFS($AF$64:$AF$509,$A$64:$A$509,$B29,$C$64:$C$509,"Total")</f>
        <v>33</v>
      </c>
      <c r="Y29" s="88">
        <f t="shared" ref="Y29:Y44" si="22">SUMIFS($AC$64:$AC$509,$A$64:$A$509,$B29,$C$64:$C$509,"Total")</f>
        <v>866.31042879860047</v>
      </c>
      <c r="Z29" s="88">
        <f t="shared" ref="Z29:Z44" si="23">SUMIFS($AH$64:$AH$509,$A$64:$A$509,$B29,$C$64:$C$509,"Total")+SUMIFS($AG$64:$AG$509,$A$64:$A$509,$B29,$C$64:$C$509,"Total")</f>
        <v>465.4960581549845</v>
      </c>
      <c r="AA29" s="88">
        <f t="shared" ref="AA29:AA44" si="24">SUMIFS($AI$64:$AI$509,$A$64:$A$509,$B29,$C$64:$C$509,"Total")</f>
        <v>28588.244150353814</v>
      </c>
      <c r="AB29" s="88">
        <f t="shared" ref="AB29:AB44" si="25">SUMIFS($AI$64:$AI$509,$A$64:$A$509,$B29,$C$64:$C$509,"Compensation Budget")</f>
        <v>25687</v>
      </c>
      <c r="AC29" s="89">
        <f t="shared" ref="AC29:AC44" si="26">SUMIFS($AI$64:$AI$509,$A$64:$A$509,$B29,$C$64:$C$509,"Under/(Over)")</f>
        <v>-2901.2441503538139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33</v>
      </c>
      <c r="AF29" s="88">
        <f t="shared" ref="AF29:AF44" si="29">SUMIFS($AK$64:$AK$509,$A$64:$A$509,$B29,$C$64:$C$509,"Total")</f>
        <v>933.22184855402566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30796.321002282846</v>
      </c>
      <c r="AI29" s="88">
        <f t="shared" ref="AI29:AI44" si="32">SUMIFS($AQ$64:$AQ$509,$A$64:$A$509,$B29,$C$64:$C$509,"Compensation Budget")</f>
        <v>27639.212000000003</v>
      </c>
      <c r="AJ29" s="89">
        <f t="shared" ref="AJ29:AJ44" si="33">SUMIFS($AQ$64:$AQ$509,$A$64:$A$509,$B29,$C$64:$C$509,"Under/(Over)")</f>
        <v>-3157.109002282843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Research, Policy and Legislation   </v>
      </c>
      <c r="D30" s="222">
        <f t="shared" si="2"/>
        <v>0</v>
      </c>
      <c r="E30" s="223">
        <f t="shared" si="2"/>
        <v>0</v>
      </c>
      <c r="F30" s="80">
        <f t="shared" si="3"/>
        <v>19</v>
      </c>
      <c r="G30" s="155">
        <f t="shared" si="4"/>
        <v>679.26315789473688</v>
      </c>
      <c r="H30" s="155">
        <f t="shared" si="5"/>
        <v>12906</v>
      </c>
      <c r="I30" s="23">
        <f t="shared" si="6"/>
        <v>-1</v>
      </c>
      <c r="J30" s="22">
        <f t="shared" si="7"/>
        <v>18</v>
      </c>
      <c r="K30" s="22">
        <f t="shared" si="8"/>
        <v>639.16347602721646</v>
      </c>
      <c r="L30" s="22">
        <f t="shared" si="9"/>
        <v>-1193.7479609197303</v>
      </c>
      <c r="M30" s="22">
        <f t="shared" si="10"/>
        <v>11504.942568489896</v>
      </c>
      <c r="N30" s="22">
        <f t="shared" si="11"/>
        <v>14252</v>
      </c>
      <c r="O30" s="91">
        <f t="shared" si="12"/>
        <v>2747.0574315101039</v>
      </c>
      <c r="P30" s="23">
        <f t="shared" si="13"/>
        <v>0</v>
      </c>
      <c r="Q30" s="22">
        <f t="shared" si="14"/>
        <v>18</v>
      </c>
      <c r="R30" s="22">
        <f t="shared" si="15"/>
        <v>689.94412108556833</v>
      </c>
      <c r="S30" s="22">
        <f t="shared" si="16"/>
        <v>0</v>
      </c>
      <c r="T30" s="22">
        <f t="shared" si="17"/>
        <v>12418.99417954023</v>
      </c>
      <c r="U30" s="22">
        <f t="shared" si="18"/>
        <v>15755</v>
      </c>
      <c r="V30" s="91">
        <f t="shared" si="19"/>
        <v>3336.0058204597699</v>
      </c>
      <c r="W30" s="23">
        <f t="shared" si="20"/>
        <v>0</v>
      </c>
      <c r="X30" s="22">
        <f t="shared" si="21"/>
        <v>18</v>
      </c>
      <c r="Y30" s="22">
        <f t="shared" si="22"/>
        <v>744.08161358374969</v>
      </c>
      <c r="Z30" s="22">
        <f t="shared" si="23"/>
        <v>0</v>
      </c>
      <c r="AA30" s="22">
        <f t="shared" si="24"/>
        <v>13393.469044507494</v>
      </c>
      <c r="AB30" s="22">
        <f t="shared" si="25"/>
        <v>17465</v>
      </c>
      <c r="AC30" s="91">
        <f t="shared" si="26"/>
        <v>4071.5309554925061</v>
      </c>
      <c r="AD30" s="23">
        <f t="shared" si="27"/>
        <v>0</v>
      </c>
      <c r="AE30" s="22">
        <f t="shared" si="28"/>
        <v>18</v>
      </c>
      <c r="AF30" s="22">
        <f t="shared" si="29"/>
        <v>800.98252986973102</v>
      </c>
      <c r="AG30" s="22">
        <f t="shared" si="30"/>
        <v>0</v>
      </c>
      <c r="AH30" s="22">
        <f t="shared" si="31"/>
        <v>14417.685537655159</v>
      </c>
      <c r="AI30" s="22">
        <f t="shared" si="32"/>
        <v>18792.34</v>
      </c>
      <c r="AJ30" s="91">
        <f t="shared" si="33"/>
        <v>4374.6544623448408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Institutional Support and Coordination</v>
      </c>
      <c r="D31" s="222">
        <f t="shared" si="2"/>
        <v>0</v>
      </c>
      <c r="E31" s="223">
        <f t="shared" si="2"/>
        <v>0</v>
      </c>
      <c r="F31" s="80">
        <f t="shared" si="3"/>
        <v>40</v>
      </c>
      <c r="G31" s="155">
        <f t="shared" si="4"/>
        <v>618.82500000000005</v>
      </c>
      <c r="H31" s="155">
        <f t="shared" si="5"/>
        <v>24753</v>
      </c>
      <c r="I31" s="23">
        <f t="shared" si="6"/>
        <v>0</v>
      </c>
      <c r="J31" s="22">
        <f t="shared" si="7"/>
        <v>40</v>
      </c>
      <c r="K31" s="22">
        <f t="shared" si="8"/>
        <v>641.80166068985159</v>
      </c>
      <c r="L31" s="22">
        <f t="shared" si="9"/>
        <v>-576.78104797936339</v>
      </c>
      <c r="M31" s="22">
        <f t="shared" si="10"/>
        <v>25672.066427594065</v>
      </c>
      <c r="N31" s="22">
        <f t="shared" si="11"/>
        <v>27221</v>
      </c>
      <c r="O31" s="91">
        <f t="shared" si="12"/>
        <v>1548.9335724059347</v>
      </c>
      <c r="P31" s="23">
        <f t="shared" si="13"/>
        <v>4</v>
      </c>
      <c r="Q31" s="22">
        <f t="shared" si="14"/>
        <v>44</v>
      </c>
      <c r="R31" s="22">
        <f t="shared" si="15"/>
        <v>666.06498511029395</v>
      </c>
      <c r="S31" s="22">
        <f t="shared" si="16"/>
        <v>1638.8990109686115</v>
      </c>
      <c r="T31" s="22">
        <f t="shared" si="17"/>
        <v>29306.859344852935</v>
      </c>
      <c r="U31" s="22">
        <f t="shared" si="18"/>
        <v>28759</v>
      </c>
      <c r="V31" s="91">
        <f t="shared" si="19"/>
        <v>-547.85934485293546</v>
      </c>
      <c r="W31" s="23">
        <f t="shared" si="20"/>
        <v>0</v>
      </c>
      <c r="X31" s="22">
        <f t="shared" si="21"/>
        <v>44</v>
      </c>
      <c r="Y31" s="22">
        <f t="shared" si="22"/>
        <v>695.36257780943549</v>
      </c>
      <c r="Z31" s="22">
        <f t="shared" si="23"/>
        <v>-950.82171645937615</v>
      </c>
      <c r="AA31" s="22">
        <f t="shared" si="24"/>
        <v>30595.953423615159</v>
      </c>
      <c r="AB31" s="22">
        <f t="shared" si="25"/>
        <v>30701</v>
      </c>
      <c r="AC31" s="91">
        <f t="shared" si="26"/>
        <v>105.04657638484059</v>
      </c>
      <c r="AD31" s="23">
        <f t="shared" si="27"/>
        <v>0</v>
      </c>
      <c r="AE31" s="22">
        <f t="shared" si="28"/>
        <v>44</v>
      </c>
      <c r="AF31" s="22">
        <f t="shared" si="29"/>
        <v>747.3249245126699</v>
      </c>
      <c r="AG31" s="22">
        <f t="shared" si="30"/>
        <v>0</v>
      </c>
      <c r="AH31" s="22">
        <f t="shared" si="31"/>
        <v>32882.296678557475</v>
      </c>
      <c r="AI31" s="22">
        <f t="shared" si="32"/>
        <v>33034.276000000005</v>
      </c>
      <c r="AJ31" s="91">
        <f t="shared" si="33"/>
        <v>151.97932144252991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83</v>
      </c>
      <c r="G45" s="92">
        <f>IFERROR(H45/F45,0)</f>
        <v>682.24096385542168</v>
      </c>
      <c r="H45" s="92">
        <f>SUM(H29:H38)</f>
        <v>56626</v>
      </c>
      <c r="I45" s="25">
        <f>SUM(I29:I38)</f>
        <v>4</v>
      </c>
      <c r="J45" s="92">
        <f>SUM(J29:J38)</f>
        <v>87</v>
      </c>
      <c r="K45" s="92">
        <f>IFERROR(M45/J45,0)</f>
        <v>688.67193682495633</v>
      </c>
      <c r="L45" s="92">
        <f t="shared" ref="L45:Q45" si="34">SUM(L29:L38)</f>
        <v>933.85143854909711</v>
      </c>
      <c r="M45" s="92">
        <f t="shared" si="34"/>
        <v>59914.458503771202</v>
      </c>
      <c r="N45" s="92">
        <f>INDEX('ENE17'!$C$2:$C$48,MATCH(Results!$D$3,'ENE17'!$A$2:$A$48,0))</f>
        <v>61032</v>
      </c>
      <c r="O45" s="129">
        <f>N45-M45</f>
        <v>1117.5414962287978</v>
      </c>
      <c r="P45" s="25">
        <f t="shared" si="34"/>
        <v>7</v>
      </c>
      <c r="Q45" s="24">
        <f t="shared" si="34"/>
        <v>94</v>
      </c>
      <c r="R45" s="92">
        <f>IFERROR(T45/Q45,0)</f>
        <v>721.12369711361328</v>
      </c>
      <c r="S45" s="24">
        <f>SUM(S29:S38)</f>
        <v>3145.6039011171238</v>
      </c>
      <c r="T45" s="24">
        <f>SUM(T29:T38)</f>
        <v>67785.627528679644</v>
      </c>
      <c r="U45" s="207">
        <f>INDEX('ENE17'!$D$2:$D$48,MATCH(Results!$D$3,'ENE17'!$A$2:$A$48,0))</f>
        <v>68284</v>
      </c>
      <c r="V45" s="24">
        <f>U45-T45</f>
        <v>498.37247132035554</v>
      </c>
      <c r="W45" s="25">
        <f t="shared" ref="W45:X45" si="35">SUM(W29:W38)</f>
        <v>1</v>
      </c>
      <c r="X45" s="24">
        <f t="shared" si="35"/>
        <v>95</v>
      </c>
      <c r="Y45" s="92">
        <f>IFERROR(AA45/X45,0)</f>
        <v>763.97543808922603</v>
      </c>
      <c r="Z45" s="24">
        <f t="shared" ref="Z45:AA45" si="36">SUM(Z29:Z38)</f>
        <v>-485.32565830439165</v>
      </c>
      <c r="AA45" s="24">
        <f t="shared" si="36"/>
        <v>72577.666618476476</v>
      </c>
      <c r="AB45" s="207">
        <f>INDEX('ENE17'!$E$2:$E$48,MATCH(Results!$D$3,'ENE17'!$A$2:$A$48,0))</f>
        <v>73041</v>
      </c>
      <c r="AC45" s="24">
        <f>AB45-AA45</f>
        <v>463.33338152352371</v>
      </c>
      <c r="AD45" s="25">
        <f t="shared" ref="AD45:AE45" si="37">SUM(AD29:AD38)</f>
        <v>0</v>
      </c>
      <c r="AE45" s="24">
        <f t="shared" si="37"/>
        <v>95</v>
      </c>
      <c r="AF45" s="92">
        <f>IFERROR(AH45/AE45,0)</f>
        <v>822.0663496683735</v>
      </c>
      <c r="AG45" s="24">
        <f t="shared" ref="AG45:AH45" si="38">SUM(AG29:AG38)</f>
        <v>0</v>
      </c>
      <c r="AH45" s="24">
        <f t="shared" si="38"/>
        <v>78096.303218495479</v>
      </c>
      <c r="AI45" s="207">
        <f>INDEX('ENE17'!$F$2:$F$48,MATCH(Results!$D$3,'ENE17'!$A$2:$A$48,0))</f>
        <v>78592</v>
      </c>
      <c r="AJ45" s="24">
        <f>AI45-AH45</f>
        <v>495.69678150452091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21</v>
      </c>
      <c r="G51" s="193">
        <f>IFERROR(H51/F51,"")</f>
        <v>239.66666666666666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5033</v>
      </c>
      <c r="I51" s="97">
        <f>SUMIFS($N$64:$N$509,$B$64:$B$509,$B51)-SUMIFS($O$64:$O$509,$B$64:$B$509,$B51)</f>
        <v>2</v>
      </c>
      <c r="J51" s="80">
        <f>SUMIFS($P$64:$P$509,$B$64:$B$509,$B51)</f>
        <v>23</v>
      </c>
      <c r="K51" s="80">
        <f>IFERROR(M51/J51,0)</f>
        <v>253.34298094696166</v>
      </c>
      <c r="L51" s="80">
        <f>SUMIFS($R$64:$R$509,$B$64:$B$509,$B51)+SUMIFS($Q$64:$Q$509,$B$64:$B$509,$B51)</f>
        <v>548.27965858826383</v>
      </c>
      <c r="M51" s="98">
        <f>SUMIFS($S$64:$S$509,$B$64:$B$509,$B51)</f>
        <v>5826.8885617801179</v>
      </c>
      <c r="N51" s="80">
        <f>SUMIFS($V$64:$V$509,$B$64:$B$509,$B51)-SUMIFS($W$64:$W$509,$B$64:$B$509,$B51)</f>
        <v>2</v>
      </c>
      <c r="O51" s="80">
        <f>SUMIFS($X$64:$X$509,$B$64:$B$509,$B51)</f>
        <v>25</v>
      </c>
      <c r="P51" s="80">
        <f>IFERROR(R51/O51,0)</f>
        <v>272.89179242275384</v>
      </c>
      <c r="Q51" s="80">
        <f>SUMIFS($Z$64:$Z$509,$B$64:$B$509,$B51)+SUMIFS($Y$64:$Y$509,$B$64:$B$509,$B51)</f>
        <v>506.44565928429955</v>
      </c>
      <c r="R51" s="80">
        <f>SUMIFS($AA$64:$AA$509,$B$64:$B$509,$B51)</f>
        <v>6822.2948105688465</v>
      </c>
      <c r="S51" s="97">
        <f>SUMIFS($AD$64:$AD$509,$B$64:$B$509,$B51)-SUMIFS($AE$64:$AE$509,$B$64:$B$509,$B51)</f>
        <v>0</v>
      </c>
      <c r="T51" s="80">
        <f>SUMIFS($AF$64:$AF$509,$B$64:$B$509,$B51)</f>
        <v>25</v>
      </c>
      <c r="U51" s="80">
        <f>IFERROR(W51/T51,0)</f>
        <v>295.52955358022433</v>
      </c>
      <c r="V51" s="80">
        <f>SUMIFS($AH$64:$AH$509,$B$64:$B$509,$B51)+SUMIFS($AG$64:$AG$509,$B$64:$B$509,$B51)</f>
        <v>0</v>
      </c>
      <c r="W51" s="98">
        <f>SUMIFS($AI$64:$AI$509,$B$64:$B$509,$B51)</f>
        <v>7388.2388395056078</v>
      </c>
      <c r="X51" s="80">
        <f>SUMIFS($AL$64:$AL$509,$B$64:$B$509,$B51)-SUMIFS($AM$64:$AM$509,$B$64:$B$509,$B51)</f>
        <v>0</v>
      </c>
      <c r="Y51" s="80">
        <f>SUMIFS($AN$64:$AN$509,$B$64:$B$509,$B51)</f>
        <v>25</v>
      </c>
      <c r="Z51" s="80">
        <f>IFERROR(AB51/Y51,0)</f>
        <v>319.44933687209692</v>
      </c>
      <c r="AA51" s="80">
        <f>SUMIFS($AP$64:$AP$509,$B$64:$B$509,$B51)+SUMIFS($AO$64:$AO$509,$B$64:$B$509,$B51)</f>
        <v>0</v>
      </c>
      <c r="AB51" s="98">
        <f>SUMIFS($AQ$64:$AQ$509,$B$64:$B$509,$B51)</f>
        <v>7986.2334218024234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13</v>
      </c>
      <c r="G52" s="192">
        <f t="shared" ref="G52:G55" si="40">IFERROR(H52/F52,"")</f>
        <v>399.23076923076923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5190</v>
      </c>
      <c r="I52" s="97">
        <f>SUMIFS($N$64:$N$509,$B$64:$B$509,$B52)-SUMIFS($O$64:$O$509,$B$64:$B$509,$B52)</f>
        <v>1</v>
      </c>
      <c r="J52" s="80">
        <f>SUMIFS($P$64:$P$509,$B$64:$B$509,$B52)</f>
        <v>14</v>
      </c>
      <c r="K52" s="80">
        <f t="shared" ref="K52:K56" si="41">IFERROR(M52/J52,0)</f>
        <v>427.83292361429392</v>
      </c>
      <c r="L52" s="80">
        <f>SUMIFS($R$64:$R$509,$B$64:$B$509,$B52)+SUMIFS($Q$64:$Q$509,$B$64:$B$509,$B52)</f>
        <v>381.20882800488545</v>
      </c>
      <c r="M52" s="98">
        <f>SUMIFS($S$64:$S$509,$B$64:$B$509,$B52)</f>
        <v>5989.6609306001146</v>
      </c>
      <c r="N52" s="80">
        <f>SUMIFS($V$64:$V$509,$B$64:$B$509,$B52)-SUMIFS($W$64:$W$509,$B$64:$B$509,$B52)</f>
        <v>4</v>
      </c>
      <c r="O52" s="80">
        <f>SUMIFS($X$64:$X$509,$B$64:$B$509,$B52)</f>
        <v>18</v>
      </c>
      <c r="P52" s="80">
        <f t="shared" ref="P52:P55" si="42">IFERROR(R52/O52,0)</f>
        <v>461.44022192486915</v>
      </c>
      <c r="Q52" s="80">
        <f>SUMIFS($Z$64:$Z$509,$B$64:$B$509,$B52)+SUMIFS($Y$64:$Y$509,$B$64:$B$509,$B52)</f>
        <v>1859.1281905348192</v>
      </c>
      <c r="R52" s="80">
        <f>SUMIFS($AA$64:$AA$509,$B$64:$B$509,$B52)</f>
        <v>8305.9239946476446</v>
      </c>
      <c r="S52" s="97">
        <f>SUMIFS($AD$64:$AD$509,$B$64:$B$509,$B52)-SUMIFS($AE$64:$AE$509,$B$64:$B$509,$B52)</f>
        <v>2</v>
      </c>
      <c r="T52" s="80">
        <f>SUMIFS($AF$64:$AF$509,$B$64:$B$509,$B52)</f>
        <v>20</v>
      </c>
      <c r="U52" s="80">
        <f t="shared" ref="U52:U55" si="43">IFERROR(W52/T52,0)</f>
        <v>496.91755879453012</v>
      </c>
      <c r="V52" s="80">
        <f>SUMIFS($AH$64:$AH$509,$B$64:$B$509,$B52)+SUMIFS($AG$64:$AG$509,$B$64:$B$509,$B52)</f>
        <v>1011.7034225217635</v>
      </c>
      <c r="W52" s="98">
        <f>SUMIFS($AI$64:$AI$509,$B$64:$B$509,$B52)</f>
        <v>9938.3511758906025</v>
      </c>
      <c r="X52" s="80">
        <f>SUMIFS($AL$64:$AL$509,$B$64:$B$509,$B52)-SUMIFS($AM$64:$AM$509,$B$64:$B$509,$B52)</f>
        <v>0</v>
      </c>
      <c r="Y52" s="80">
        <f>SUMIFS($AN$64:$AN$509,$B$64:$B$509,$B52)</f>
        <v>20</v>
      </c>
      <c r="Z52" s="80">
        <f t="shared" ref="Z52:Z55" si="44">IFERROR(AB52/Y52,0)</f>
        <v>533.14122739417621</v>
      </c>
      <c r="AA52" s="80">
        <f>SUMIFS($AP$64:$AP$509,$B$64:$B$509,$B52)+SUMIFS($AO$64:$AO$509,$B$64:$B$509,$B52)</f>
        <v>0</v>
      </c>
      <c r="AB52" s="98">
        <f>SUMIFS($AQ$64:$AQ$509,$B$64:$B$509,$B52)</f>
        <v>10662.824547883523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17</v>
      </c>
      <c r="G53" s="192">
        <f t="shared" si="40"/>
        <v>707.82352941176475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12033</v>
      </c>
      <c r="I53" s="97">
        <f>SUMIFS($N$64:$N$509,$B$64:$B$509,$B53)-SUMIFS($O$64:$O$509,$B$64:$B$509,$B53)</f>
        <v>3</v>
      </c>
      <c r="J53" s="80">
        <f>SUMIFS($P$64:$P$509,$B$64:$B$509,$B53)</f>
        <v>20</v>
      </c>
      <c r="K53" s="80">
        <f t="shared" si="41"/>
        <v>764.61482577382162</v>
      </c>
      <c r="L53" s="80">
        <f>SUMIFS($R$64:$R$509,$B$64:$B$509,$B53)+SUMIFS($Q$64:$Q$509,$B$64:$B$509,$B53)</f>
        <v>2156.100788859927</v>
      </c>
      <c r="M53" s="98">
        <f>SUMIFS($S$64:$S$509,$B$64:$B$509,$B53)</f>
        <v>15292.296515476433</v>
      </c>
      <c r="N53" s="80">
        <f>SUMIFS($V$64:$V$509,$B$64:$B$509,$B53)-SUMIFS($W$64:$W$509,$B$64:$B$509,$B53)</f>
        <v>1</v>
      </c>
      <c r="O53" s="80">
        <f>SUMIFS($X$64:$X$509,$B$64:$B$509,$B53)</f>
        <v>21</v>
      </c>
      <c r="P53" s="80">
        <f t="shared" si="42"/>
        <v>827.65182922071313</v>
      </c>
      <c r="Q53" s="80">
        <f>SUMIFS($Z$64:$Z$509,$B$64:$B$509,$B53)+SUMIFS($Y$64:$Y$509,$B$64:$B$509,$B53)</f>
        <v>780.03005129800511</v>
      </c>
      <c r="R53" s="80">
        <f>SUMIFS($AA$64:$AA$509,$B$64:$B$509,$B53)</f>
        <v>17380.688413634976</v>
      </c>
      <c r="S53" s="97">
        <f>SUMIFS($AD$64:$AD$509,$B$64:$B$509,$B53)-SUMIFS($AE$64:$AE$509,$B$64:$B$509,$B53)</f>
        <v>1</v>
      </c>
      <c r="T53" s="80">
        <f>SUMIFS($AF$64:$AF$509,$B$64:$B$509,$B53)</f>
        <v>22</v>
      </c>
      <c r="U53" s="80">
        <f t="shared" si="43"/>
        <v>897.04913869818597</v>
      </c>
      <c r="V53" s="80">
        <f>SUMIFS($AH$64:$AH$509,$B$64:$B$509,$B53)+SUMIFS($AG$64:$AG$509,$B$64:$B$509,$B53)</f>
        <v>885.16047511958641</v>
      </c>
      <c r="W53" s="98">
        <f>SUMIFS($AI$64:$AI$509,$B$64:$B$509,$B53)</f>
        <v>19735.081051360092</v>
      </c>
      <c r="X53" s="80">
        <f>SUMIFS($AL$64:$AL$509,$B$64:$B$509,$B53)-SUMIFS($AM$64:$AM$509,$B$64:$B$509,$B53)</f>
        <v>0</v>
      </c>
      <c r="Y53" s="80">
        <f>SUMIFS($AN$64:$AN$509,$B$64:$B$509,$B53)</f>
        <v>22</v>
      </c>
      <c r="Z53" s="80">
        <f t="shared" si="44"/>
        <v>971.06905521993474</v>
      </c>
      <c r="AA53" s="80">
        <f>SUMIFS($AP$64:$AP$509,$B$64:$B$509,$B53)+SUMIFS($AO$64:$AO$509,$B$64:$B$509,$B53)</f>
        <v>0</v>
      </c>
      <c r="AB53" s="98">
        <f>SUMIFS($AQ$64:$AQ$509,$B$64:$B$509,$B53)</f>
        <v>21363.519214838565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32</v>
      </c>
      <c r="G54" s="192">
        <f t="shared" si="40"/>
        <v>1074.0625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34370</v>
      </c>
      <c r="I54" s="97">
        <f>SUMIFS($N$64:$N$509,$B$64:$B$509,$B54)-SUMIFS($O$64:$O$509,$B$64:$B$509,$B54)</f>
        <v>-2</v>
      </c>
      <c r="J54" s="80">
        <f>SUMIFS($P$64:$P$509,$B$64:$B$509,$B54)</f>
        <v>30</v>
      </c>
      <c r="K54" s="80">
        <f t="shared" si="41"/>
        <v>1093.5204165304847</v>
      </c>
      <c r="L54" s="80">
        <f>SUMIFS($R$64:$R$509,$B$64:$B$509,$B54)+SUMIFS($Q$64:$Q$509,$B$64:$B$509,$B54)</f>
        <v>-2151.7378369039789</v>
      </c>
      <c r="M54" s="98">
        <f>SUMIFS($S$64:$S$509,$B$64:$B$509,$B54)</f>
        <v>32805.612495914538</v>
      </c>
      <c r="N54" s="80">
        <f>SUMIFS($V$64:$V$509,$B$64:$B$509,$B54)-SUMIFS($W$64:$W$509,$B$64:$B$509,$B54)</f>
        <v>0</v>
      </c>
      <c r="O54" s="80">
        <f>SUMIFS($X$64:$X$509,$B$64:$B$509,$B54)</f>
        <v>30</v>
      </c>
      <c r="P54" s="80">
        <f t="shared" si="42"/>
        <v>1175.8906769942726</v>
      </c>
      <c r="Q54" s="80">
        <f>SUMIFS($Z$64:$Z$509,$B$64:$B$509,$B54)+SUMIFS($Y$64:$Y$509,$B$64:$B$509,$B54)</f>
        <v>0</v>
      </c>
      <c r="R54" s="80">
        <f>SUMIFS($AA$64:$AA$509,$B$64:$B$509,$B54)</f>
        <v>35276.720309828175</v>
      </c>
      <c r="S54" s="97">
        <f>SUMIFS($AD$64:$AD$509,$B$64:$B$509,$B54)-SUMIFS($AE$64:$AE$509,$B$64:$B$509,$B54)</f>
        <v>-2</v>
      </c>
      <c r="T54" s="80">
        <f>SUMIFS($AF$64:$AF$509,$B$64:$B$509,$B54)</f>
        <v>28</v>
      </c>
      <c r="U54" s="80">
        <f t="shared" si="43"/>
        <v>1268.4284125614342</v>
      </c>
      <c r="V54" s="80">
        <f>SUMIFS($AH$64:$AH$509,$B$64:$B$509,$B54)+SUMIFS($AG$64:$AG$509,$B$64:$B$509,$B54)</f>
        <v>-2382.1895559457416</v>
      </c>
      <c r="W54" s="98">
        <f>SUMIFS($AI$64:$AI$509,$B$64:$B$509,$B54)</f>
        <v>35515.99555172016</v>
      </c>
      <c r="X54" s="80">
        <f>SUMIFS($AL$64:$AL$509,$B$64:$B$509,$B54)-SUMIFS($AM$64:$AM$509,$B$64:$B$509,$B54)</f>
        <v>0</v>
      </c>
      <c r="Y54" s="80">
        <f>SUMIFS($AN$64:$AN$509,$B$64:$B$509,$B54)</f>
        <v>28</v>
      </c>
      <c r="Z54" s="80">
        <f t="shared" si="44"/>
        <v>1360.1330726418203</v>
      </c>
      <c r="AA54" s="80">
        <f>SUMIFS($AP$64:$AP$509,$B$64:$B$509,$B54)+SUMIFS($AO$64:$AO$509,$B$64:$B$509,$B54)</f>
        <v>0</v>
      </c>
      <c r="AB54" s="98">
        <f>SUMIFS($AQ$64:$AQ$509,$B$64:$B$509,$B54)</f>
        <v>38083.726033970968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83</v>
      </c>
      <c r="G56" s="92">
        <f t="shared" ref="G56" si="45">IFERROR(H56/F56,0)</f>
        <v>682.24096385542168</v>
      </c>
      <c r="H56" s="92">
        <f>SUM(H51:H55)</f>
        <v>56626</v>
      </c>
      <c r="I56" s="92">
        <f>SUM(I51:I55)</f>
        <v>4</v>
      </c>
      <c r="J56" s="92">
        <f>SUM(J51:J55)</f>
        <v>87</v>
      </c>
      <c r="K56" s="92">
        <f t="shared" si="41"/>
        <v>688.67193682495633</v>
      </c>
      <c r="L56" s="92">
        <f>SUM(L51:L55)</f>
        <v>933.85143854909711</v>
      </c>
      <c r="M56" s="92">
        <f>SUM(M51:M55)</f>
        <v>59914.458503771202</v>
      </c>
      <c r="N56" s="92">
        <f t="shared" ref="N56:O56" si="46">SUM(N51:N55)</f>
        <v>7</v>
      </c>
      <c r="O56" s="92">
        <f t="shared" si="46"/>
        <v>94</v>
      </c>
      <c r="P56" s="92">
        <f>IFERROR(R56/O56,0)</f>
        <v>721.12369711361328</v>
      </c>
      <c r="Q56" s="92">
        <f t="shared" ref="Q56" si="47">SUM(Q51:Q55)</f>
        <v>3145.6039011171238</v>
      </c>
      <c r="R56" s="92">
        <f t="shared" ref="R56:T56" si="48">SUM(R51:R55)</f>
        <v>67785.627528679644</v>
      </c>
      <c r="S56" s="92">
        <f t="shared" si="48"/>
        <v>1</v>
      </c>
      <c r="T56" s="92">
        <f t="shared" si="48"/>
        <v>95</v>
      </c>
      <c r="U56" s="92">
        <f>IFERROR(W56/T56,0)</f>
        <v>763.97543808922592</v>
      </c>
      <c r="V56" s="92">
        <f t="shared" ref="V56" si="49">SUM(V51:V55)</f>
        <v>-485.32565830439171</v>
      </c>
      <c r="W56" s="92">
        <f t="shared" ref="W56:Y56" si="50">SUM(W51:W55)</f>
        <v>72577.666618476462</v>
      </c>
      <c r="X56" s="92">
        <f t="shared" si="50"/>
        <v>0</v>
      </c>
      <c r="Y56" s="92">
        <f t="shared" si="50"/>
        <v>95</v>
      </c>
      <c r="Z56" s="92">
        <f>IFERROR(AB56/Y56,0)</f>
        <v>822.0663496683735</v>
      </c>
      <c r="AA56" s="92">
        <f t="shared" ref="AA56" si="51">SUM(AA51:AA55)</f>
        <v>0</v>
      </c>
      <c r="AB56" s="104">
        <f t="shared" ref="AB56" si="52">SUM(AB51:AB55)</f>
        <v>78096.303218495479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124.29078</v>
      </c>
      <c r="H64" s="35">
        <f>IFERROR(G64/F64,0)</f>
        <v>0</v>
      </c>
      <c r="I64" s="156">
        <v>0</v>
      </c>
      <c r="J64" s="211">
        <v>124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</v>
      </c>
      <c r="G68" s="35">
        <f>SUMIFS(WORKING!$AC$3:$AC$6802,WORKING!$A$3:$A$6802,Results!$D$3,WORKING!$B$3:$B$6802,Results!A68,WORKING!$C$3:$C$6802,Results!C68)/1000</f>
        <v>233.72354999999999</v>
      </c>
      <c r="H68" s="35">
        <f t="shared" si="60"/>
        <v>233.72354999999999</v>
      </c>
      <c r="I68" s="187">
        <v>0</v>
      </c>
      <c r="J68" s="212">
        <v>0</v>
      </c>
      <c r="K68" s="217" t="str">
        <f t="shared" si="61"/>
        <v/>
      </c>
      <c r="L68" s="34">
        <f t="shared" si="54"/>
        <v>0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253.83129710635254</v>
      </c>
      <c r="N68" s="57">
        <v>0</v>
      </c>
      <c r="O68" s="57">
        <v>0</v>
      </c>
      <c r="P68" s="61">
        <f t="shared" si="55"/>
        <v>0</v>
      </c>
      <c r="Q68" s="40">
        <f t="shared" si="62"/>
        <v>0</v>
      </c>
      <c r="R68" s="40">
        <f t="shared" si="63"/>
        <v>0</v>
      </c>
      <c r="S68" s="44">
        <f t="shared" si="64"/>
        <v>0</v>
      </c>
      <c r="T68" s="35">
        <f t="shared" si="65"/>
        <v>0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275.23667157010101</v>
      </c>
      <c r="V68" s="57">
        <v>0</v>
      </c>
      <c r="W68" s="57">
        <v>0</v>
      </c>
      <c r="X68" s="61">
        <f t="shared" si="56"/>
        <v>0</v>
      </c>
      <c r="Y68" s="40">
        <f t="shared" si="66"/>
        <v>0</v>
      </c>
      <c r="Z68" s="40">
        <f t="shared" si="67"/>
        <v>0</v>
      </c>
      <c r="AA68" s="44">
        <f t="shared" si="68"/>
        <v>0</v>
      </c>
      <c r="AB68" s="35">
        <f t="shared" si="69"/>
        <v>0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298.16804949839894</v>
      </c>
      <c r="AD68" s="57">
        <v>0</v>
      </c>
      <c r="AE68" s="57">
        <v>0</v>
      </c>
      <c r="AF68" s="61">
        <f t="shared" si="57"/>
        <v>0</v>
      </c>
      <c r="AG68" s="40">
        <f t="shared" si="70"/>
        <v>0</v>
      </c>
      <c r="AH68" s="40">
        <f t="shared" si="71"/>
        <v>0</v>
      </c>
      <c r="AI68" s="44">
        <f t="shared" si="72"/>
        <v>0</v>
      </c>
      <c r="AJ68" s="35">
        <f t="shared" si="58"/>
        <v>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322.40526605393546</v>
      </c>
      <c r="AL68" s="57">
        <v>0</v>
      </c>
      <c r="AM68" s="57">
        <v>0</v>
      </c>
      <c r="AN68" s="61">
        <f t="shared" si="59"/>
        <v>0</v>
      </c>
      <c r="AO68" s="40">
        <f t="shared" si="73"/>
        <v>0</v>
      </c>
      <c r="AP68" s="40">
        <f t="shared" si="74"/>
        <v>0</v>
      </c>
      <c r="AQ68" s="44">
        <f t="shared" si="75"/>
        <v>0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</v>
      </c>
      <c r="G69" s="35">
        <f>SUMIFS(WORKING!$AC$3:$AC$6802,WORKING!$A$3:$A$6802,Results!$D$3,WORKING!$B$3:$B$6802,Results!A69,WORKING!$C$3:$C$6802,Results!C69)/1000</f>
        <v>1232.2760699999999</v>
      </c>
      <c r="H69" s="35">
        <f t="shared" si="60"/>
        <v>246.45521399999998</v>
      </c>
      <c r="I69" s="187">
        <v>5</v>
      </c>
      <c r="J69" s="212">
        <v>1261</v>
      </c>
      <c r="K69" s="217">
        <f t="shared" si="61"/>
        <v>252.2</v>
      </c>
      <c r="L69" s="34">
        <f t="shared" si="54"/>
        <v>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274.13982929413191</v>
      </c>
      <c r="N69" s="57">
        <v>2</v>
      </c>
      <c r="O69" s="57">
        <v>0</v>
      </c>
      <c r="P69" s="61">
        <f t="shared" si="55"/>
        <v>7</v>
      </c>
      <c r="Q69" s="40">
        <f t="shared" si="62"/>
        <v>548.27965858826383</v>
      </c>
      <c r="R69" s="40">
        <f t="shared" si="63"/>
        <v>0</v>
      </c>
      <c r="S69" s="44">
        <f t="shared" si="64"/>
        <v>1918.9788050589234</v>
      </c>
      <c r="T69" s="35">
        <f t="shared" si="65"/>
        <v>7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297.32445502838493</v>
      </c>
      <c r="V69" s="57">
        <v>1</v>
      </c>
      <c r="W69" s="57">
        <v>0</v>
      </c>
      <c r="X69" s="61">
        <f t="shared" si="56"/>
        <v>8</v>
      </c>
      <c r="Y69" s="40">
        <f t="shared" si="66"/>
        <v>297.32445502838493</v>
      </c>
      <c r="Z69" s="40">
        <f t="shared" si="67"/>
        <v>0</v>
      </c>
      <c r="AA69" s="44">
        <f t="shared" si="68"/>
        <v>2378.5956402270795</v>
      </c>
      <c r="AB69" s="35">
        <f t="shared" si="69"/>
        <v>8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322.16871464398707</v>
      </c>
      <c r="AD69" s="57">
        <v>0</v>
      </c>
      <c r="AE69" s="57">
        <v>0</v>
      </c>
      <c r="AF69" s="61">
        <f t="shared" si="57"/>
        <v>8</v>
      </c>
      <c r="AG69" s="40">
        <f t="shared" si="70"/>
        <v>0</v>
      </c>
      <c r="AH69" s="40">
        <f t="shared" si="71"/>
        <v>0</v>
      </c>
      <c r="AI69" s="44">
        <f t="shared" si="72"/>
        <v>2577.3497171518966</v>
      </c>
      <c r="AJ69" s="35">
        <f t="shared" si="58"/>
        <v>8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348.43633490037473</v>
      </c>
      <c r="AL69" s="57">
        <v>0</v>
      </c>
      <c r="AM69" s="57">
        <v>0</v>
      </c>
      <c r="AN69" s="61">
        <f t="shared" si="59"/>
        <v>8</v>
      </c>
      <c r="AO69" s="40">
        <f t="shared" si="73"/>
        <v>0</v>
      </c>
      <c r="AP69" s="40">
        <f t="shared" si="74"/>
        <v>0</v>
      </c>
      <c r="AQ69" s="44">
        <f t="shared" si="75"/>
        <v>2787.4906792029979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 t="s">
        <v>754</v>
      </c>
      <c r="J70" s="212" t="s">
        <v>754</v>
      </c>
      <c r="K70" s="217" t="str">
        <f t="shared" si="61"/>
        <v/>
      </c>
      <c r="L70" s="34">
        <f t="shared" si="54"/>
        <v>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0</v>
      </c>
      <c r="N70" s="57">
        <v>0</v>
      </c>
      <c r="O70" s="57">
        <v>0</v>
      </c>
      <c r="P70" s="61">
        <f t="shared" si="55"/>
        <v>0</v>
      </c>
      <c r="Q70" s="40">
        <f t="shared" si="62"/>
        <v>0</v>
      </c>
      <c r="R70" s="40">
        <f t="shared" si="63"/>
        <v>0</v>
      </c>
      <c r="S70" s="44">
        <f t="shared" si="64"/>
        <v>0</v>
      </c>
      <c r="T70" s="35">
        <f t="shared" si="65"/>
        <v>0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0</v>
      </c>
      <c r="V70" s="57">
        <v>0</v>
      </c>
      <c r="W70" s="57">
        <v>0</v>
      </c>
      <c r="X70" s="61">
        <f t="shared" si="56"/>
        <v>0</v>
      </c>
      <c r="Y70" s="40">
        <f t="shared" si="66"/>
        <v>0</v>
      </c>
      <c r="Z70" s="40">
        <f t="shared" si="67"/>
        <v>0</v>
      </c>
      <c r="AA70" s="44">
        <f t="shared" si="68"/>
        <v>0</v>
      </c>
      <c r="AB70" s="35">
        <f t="shared" si="69"/>
        <v>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0</v>
      </c>
      <c r="AD70" s="57">
        <v>0</v>
      </c>
      <c r="AE70" s="57">
        <v>0</v>
      </c>
      <c r="AF70" s="61">
        <f t="shared" si="57"/>
        <v>0</v>
      </c>
      <c r="AG70" s="40">
        <f t="shared" si="70"/>
        <v>0</v>
      </c>
      <c r="AH70" s="40">
        <f t="shared" si="71"/>
        <v>0</v>
      </c>
      <c r="AI70" s="44">
        <f t="shared" si="72"/>
        <v>0</v>
      </c>
      <c r="AJ70" s="35">
        <f t="shared" si="58"/>
        <v>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0</v>
      </c>
      <c r="AL70" s="57">
        <v>0</v>
      </c>
      <c r="AM70" s="57">
        <v>0</v>
      </c>
      <c r="AN70" s="61">
        <f t="shared" si="59"/>
        <v>0</v>
      </c>
      <c r="AO70" s="40">
        <f t="shared" si="73"/>
        <v>0</v>
      </c>
      <c r="AP70" s="40">
        <f t="shared" si="74"/>
        <v>0</v>
      </c>
      <c r="AQ70" s="44">
        <f t="shared" si="75"/>
        <v>0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6</v>
      </c>
      <c r="G71" s="35">
        <f>SUMIFS(WORKING!$AC$3:$AC$6802,WORKING!$A$3:$A$6802,Results!$D$3,WORKING!$B$3:$B$6802,Results!A71,WORKING!$C$3:$C$6802,Results!C71)/1000</f>
        <v>2125.1238800000006</v>
      </c>
      <c r="H71" s="35">
        <f>IFERROR(G71/F71,0)</f>
        <v>354.18731333333341</v>
      </c>
      <c r="I71" s="187">
        <v>4</v>
      </c>
      <c r="J71" s="212">
        <v>1453</v>
      </c>
      <c r="K71" s="217">
        <f t="shared" si="61"/>
        <v>363.25</v>
      </c>
      <c r="L71" s="34">
        <f t="shared" si="54"/>
        <v>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395.64142841646753</v>
      </c>
      <c r="N71" s="57">
        <v>0</v>
      </c>
      <c r="O71" s="57">
        <v>0</v>
      </c>
      <c r="P71" s="61">
        <f t="shared" si="55"/>
        <v>4</v>
      </c>
      <c r="Q71" s="40">
        <f t="shared" si="62"/>
        <v>0</v>
      </c>
      <c r="R71" s="40">
        <f t="shared" si="63"/>
        <v>0</v>
      </c>
      <c r="S71" s="44">
        <f t="shared" si="64"/>
        <v>1582.5657136658701</v>
      </c>
      <c r="T71" s="35">
        <f t="shared" si="65"/>
        <v>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429.35038382212213</v>
      </c>
      <c r="V71" s="57">
        <v>1</v>
      </c>
      <c r="W71" s="57">
        <v>0</v>
      </c>
      <c r="X71" s="61">
        <f t="shared" si="56"/>
        <v>5</v>
      </c>
      <c r="Y71" s="40">
        <f t="shared" si="66"/>
        <v>429.35038382212213</v>
      </c>
      <c r="Z71" s="40">
        <f t="shared" si="67"/>
        <v>0</v>
      </c>
      <c r="AA71" s="44">
        <f t="shared" si="68"/>
        <v>2146.7519191106107</v>
      </c>
      <c r="AB71" s="35">
        <f t="shared" si="69"/>
        <v>5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465.4960581549845</v>
      </c>
      <c r="AD71" s="57">
        <v>1</v>
      </c>
      <c r="AE71" s="57">
        <v>0</v>
      </c>
      <c r="AF71" s="61">
        <f t="shared" si="57"/>
        <v>6</v>
      </c>
      <c r="AG71" s="40">
        <f t="shared" si="70"/>
        <v>465.4960581549845</v>
      </c>
      <c r="AH71" s="40">
        <f t="shared" si="71"/>
        <v>0</v>
      </c>
      <c r="AI71" s="44">
        <f t="shared" si="72"/>
        <v>2792.9763489299071</v>
      </c>
      <c r="AJ71" s="35">
        <f t="shared" si="58"/>
        <v>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503.74080941294119</v>
      </c>
      <c r="AL71" s="57">
        <v>0</v>
      </c>
      <c r="AM71" s="57">
        <v>0</v>
      </c>
      <c r="AN71" s="61">
        <f t="shared" si="59"/>
        <v>6</v>
      </c>
      <c r="AO71" s="40">
        <f t="shared" si="73"/>
        <v>0</v>
      </c>
      <c r="AP71" s="40">
        <f t="shared" si="74"/>
        <v>0</v>
      </c>
      <c r="AQ71" s="44">
        <f t="shared" si="75"/>
        <v>3022.4448564776471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92.151020000000003</v>
      </c>
      <c r="H72" s="35">
        <f t="shared" si="60"/>
        <v>0</v>
      </c>
      <c r="I72" s="187">
        <v>0</v>
      </c>
      <c r="J72" s="212">
        <v>0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0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0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0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0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</v>
      </c>
      <c r="G73" s="35">
        <f>SUMIFS(WORKING!$AC$3:$AC$6802,WORKING!$A$3:$A$6802,Results!$D$3,WORKING!$B$3:$B$6802,Results!A73,WORKING!$C$3:$C$6802,Results!C73)/1000</f>
        <v>514.97694999999999</v>
      </c>
      <c r="H73" s="35">
        <f t="shared" si="60"/>
        <v>514.97694999999999</v>
      </c>
      <c r="I73" s="187">
        <v>0</v>
      </c>
      <c r="J73" s="212">
        <v>0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561.13618003865736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609.02076916002773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660.3739623615262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714.71788557573234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5</v>
      </c>
      <c r="G74" s="35">
        <f>SUMIFS(WORKING!$AC$3:$AC$6802,WORKING!$A$3:$A$6802,Results!$D$3,WORKING!$B$3:$B$6802,Results!A74,WORKING!$C$3:$C$6802,Results!C74)/1000</f>
        <v>3435.6790800000003</v>
      </c>
      <c r="H74" s="35">
        <f t="shared" si="60"/>
        <v>687.13581600000009</v>
      </c>
      <c r="I74" s="187">
        <v>4</v>
      </c>
      <c r="J74" s="212">
        <v>2634</v>
      </c>
      <c r="K74" s="217">
        <f t="shared" si="61"/>
        <v>658.5</v>
      </c>
      <c r="L74" s="34">
        <f t="shared" si="54"/>
        <v>4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718.70026295330899</v>
      </c>
      <c r="N74" s="57">
        <v>3</v>
      </c>
      <c r="O74" s="57">
        <v>0</v>
      </c>
      <c r="P74" s="61">
        <f t="shared" si="55"/>
        <v>7</v>
      </c>
      <c r="Q74" s="40">
        <f t="shared" si="62"/>
        <v>2156.100788859927</v>
      </c>
      <c r="R74" s="40">
        <f t="shared" si="63"/>
        <v>0</v>
      </c>
      <c r="S74" s="44">
        <f t="shared" si="64"/>
        <v>5030.901840673163</v>
      </c>
      <c r="T74" s="35">
        <f t="shared" si="65"/>
        <v>7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780.03005129800511</v>
      </c>
      <c r="V74" s="57">
        <v>1</v>
      </c>
      <c r="W74" s="57">
        <v>0</v>
      </c>
      <c r="X74" s="61">
        <f t="shared" si="56"/>
        <v>8</v>
      </c>
      <c r="Y74" s="40">
        <f t="shared" si="66"/>
        <v>780.03005129800511</v>
      </c>
      <c r="Z74" s="40">
        <f t="shared" si="67"/>
        <v>0</v>
      </c>
      <c r="AA74" s="44">
        <f t="shared" si="68"/>
        <v>6240.2404103840408</v>
      </c>
      <c r="AB74" s="35">
        <f t="shared" si="69"/>
        <v>8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845.80216582259322</v>
      </c>
      <c r="AD74" s="57">
        <v>0</v>
      </c>
      <c r="AE74" s="57">
        <v>0</v>
      </c>
      <c r="AF74" s="61">
        <f t="shared" si="57"/>
        <v>8</v>
      </c>
      <c r="AG74" s="40">
        <f t="shared" si="70"/>
        <v>0</v>
      </c>
      <c r="AH74" s="40">
        <f t="shared" si="71"/>
        <v>0</v>
      </c>
      <c r="AI74" s="44">
        <f t="shared" si="72"/>
        <v>6766.4173265807458</v>
      </c>
      <c r="AJ74" s="35">
        <f t="shared" si="58"/>
        <v>8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915.40433647928114</v>
      </c>
      <c r="AL74" s="57">
        <v>0</v>
      </c>
      <c r="AM74" s="57">
        <v>0</v>
      </c>
      <c r="AN74" s="61">
        <f t="shared" si="59"/>
        <v>8</v>
      </c>
      <c r="AO74" s="40">
        <f t="shared" si="73"/>
        <v>0</v>
      </c>
      <c r="AP74" s="40">
        <f t="shared" si="74"/>
        <v>0</v>
      </c>
      <c r="AQ74" s="44">
        <f t="shared" si="75"/>
        <v>7323.2346918342491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</v>
      </c>
      <c r="G75" s="35">
        <f>SUMIFS(WORKING!$AC$3:$AC$6802,WORKING!$A$3:$A$6802,Results!$D$3,WORKING!$B$3:$B$6802,Results!A75,WORKING!$C$3:$C$6802,Results!C75)/1000</f>
        <v>488.72421999999995</v>
      </c>
      <c r="H75" s="35">
        <f t="shared" si="60"/>
        <v>488.72421999999995</v>
      </c>
      <c r="I75" s="187">
        <v>1</v>
      </c>
      <c r="J75" s="212">
        <v>1359</v>
      </c>
      <c r="K75" s="217">
        <f t="shared" si="61"/>
        <v>1359</v>
      </c>
      <c r="L75" s="34">
        <f t="shared" si="54"/>
        <v>1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1483.7954479364798</v>
      </c>
      <c r="N75" s="57">
        <v>0</v>
      </c>
      <c r="O75" s="57">
        <v>0</v>
      </c>
      <c r="P75" s="61">
        <f t="shared" si="55"/>
        <v>1</v>
      </c>
      <c r="Q75" s="40">
        <f t="shared" si="62"/>
        <v>0</v>
      </c>
      <c r="R75" s="40">
        <f t="shared" si="63"/>
        <v>0</v>
      </c>
      <c r="S75" s="44">
        <f t="shared" si="64"/>
        <v>1483.7954479364798</v>
      </c>
      <c r="T75" s="35">
        <f t="shared" si="65"/>
        <v>1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1611.0169820015881</v>
      </c>
      <c r="V75" s="57">
        <v>0</v>
      </c>
      <c r="W75" s="57">
        <v>0</v>
      </c>
      <c r="X75" s="61">
        <f t="shared" si="56"/>
        <v>1</v>
      </c>
      <c r="Y75" s="40">
        <f t="shared" si="66"/>
        <v>0</v>
      </c>
      <c r="Z75" s="40">
        <f t="shared" si="67"/>
        <v>0</v>
      </c>
      <c r="AA75" s="44">
        <f t="shared" si="68"/>
        <v>1611.0169820015881</v>
      </c>
      <c r="AB75" s="35">
        <f t="shared" si="69"/>
        <v>1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1747.5118522043886</v>
      </c>
      <c r="AD75" s="57">
        <v>0</v>
      </c>
      <c r="AE75" s="57">
        <v>0</v>
      </c>
      <c r="AF75" s="61">
        <f t="shared" si="57"/>
        <v>1</v>
      </c>
      <c r="AG75" s="40">
        <f t="shared" si="70"/>
        <v>0</v>
      </c>
      <c r="AH75" s="40">
        <f t="shared" si="71"/>
        <v>0</v>
      </c>
      <c r="AI75" s="44">
        <f t="shared" si="72"/>
        <v>1747.5118522043886</v>
      </c>
      <c r="AJ75" s="35">
        <f t="shared" si="58"/>
        <v>1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1892.0249351887076</v>
      </c>
      <c r="AL75" s="57">
        <v>0</v>
      </c>
      <c r="AM75" s="57">
        <v>0</v>
      </c>
      <c r="AN75" s="61">
        <f t="shared" si="59"/>
        <v>1</v>
      </c>
      <c r="AO75" s="40">
        <f t="shared" si="73"/>
        <v>0</v>
      </c>
      <c r="AP75" s="40">
        <f t="shared" si="74"/>
        <v>0</v>
      </c>
      <c r="AQ75" s="44">
        <f t="shared" si="75"/>
        <v>1892.0249351887076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8</v>
      </c>
      <c r="G76" s="35">
        <f>SUMIFS(WORKING!$AC$3:$AC$6802,WORKING!$A$3:$A$6802,Results!$D$3,WORKING!$B$3:$B$6802,Results!A76,WORKING!$C$3:$C$6802,Results!C76)/1000</f>
        <v>7249.7222700000002</v>
      </c>
      <c r="H76" s="35">
        <f t="shared" si="60"/>
        <v>906.21528375000003</v>
      </c>
      <c r="I76" s="187">
        <v>6</v>
      </c>
      <c r="J76" s="212">
        <v>6657</v>
      </c>
      <c r="K76" s="217">
        <f t="shared" si="61"/>
        <v>1109.5</v>
      </c>
      <c r="L76" s="34">
        <f t="shared" si="54"/>
        <v>6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1163.1571098017223</v>
      </c>
      <c r="N76" s="57">
        <v>0</v>
      </c>
      <c r="O76" s="57">
        <v>0</v>
      </c>
      <c r="P76" s="61">
        <f t="shared" si="55"/>
        <v>6</v>
      </c>
      <c r="Q76" s="40">
        <f t="shared" si="62"/>
        <v>0</v>
      </c>
      <c r="R76" s="40">
        <f t="shared" si="63"/>
        <v>0</v>
      </c>
      <c r="S76" s="44">
        <f t="shared" si="64"/>
        <v>6978.9426588103343</v>
      </c>
      <c r="T76" s="35">
        <f t="shared" si="65"/>
        <v>6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1251.2814217852192</v>
      </c>
      <c r="V76" s="57">
        <v>0</v>
      </c>
      <c r="W76" s="57">
        <v>0</v>
      </c>
      <c r="X76" s="61">
        <f t="shared" si="56"/>
        <v>6</v>
      </c>
      <c r="Y76" s="40">
        <f t="shared" si="66"/>
        <v>0</v>
      </c>
      <c r="Z76" s="40">
        <f t="shared" si="67"/>
        <v>0</v>
      </c>
      <c r="AA76" s="44">
        <f t="shared" si="68"/>
        <v>7507.6885307113153</v>
      </c>
      <c r="AB76" s="35">
        <f t="shared" si="69"/>
        <v>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1344.8124100771086</v>
      </c>
      <c r="AD76" s="57">
        <v>0</v>
      </c>
      <c r="AE76" s="57">
        <v>0</v>
      </c>
      <c r="AF76" s="61">
        <f t="shared" si="57"/>
        <v>6</v>
      </c>
      <c r="AG76" s="40">
        <f t="shared" si="70"/>
        <v>0</v>
      </c>
      <c r="AH76" s="40">
        <f t="shared" si="71"/>
        <v>0</v>
      </c>
      <c r="AI76" s="44">
        <f t="shared" si="72"/>
        <v>8068.8744604626518</v>
      </c>
      <c r="AJ76" s="35">
        <f t="shared" si="58"/>
        <v>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1442.6050463154238</v>
      </c>
      <c r="AL76" s="57">
        <v>0</v>
      </c>
      <c r="AM76" s="57">
        <v>0</v>
      </c>
      <c r="AN76" s="61">
        <f t="shared" si="59"/>
        <v>6</v>
      </c>
      <c r="AO76" s="40">
        <f t="shared" si="73"/>
        <v>0</v>
      </c>
      <c r="AP76" s="40">
        <f t="shared" si="74"/>
        <v>0</v>
      </c>
      <c r="AQ76" s="44">
        <f t="shared" si="75"/>
        <v>8655.6302778925419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</v>
      </c>
      <c r="G77" s="35">
        <f>SUMIFS(WORKING!$AC$3:$AC$6802,WORKING!$A$3:$A$6802,Results!$D$3,WORKING!$B$3:$B$6802,Results!A77,WORKING!$C$3:$C$6802,Results!C77)/1000</f>
        <v>2336.7377300000003</v>
      </c>
      <c r="H77" s="35">
        <f t="shared" si="60"/>
        <v>1168.3688650000001</v>
      </c>
      <c r="I77" s="187">
        <v>2</v>
      </c>
      <c r="J77" s="212">
        <v>2331</v>
      </c>
      <c r="K77" s="217">
        <f t="shared" si="61"/>
        <v>1165.5</v>
      </c>
      <c r="L77" s="34">
        <f t="shared" si="54"/>
        <v>2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1221.0458676163112</v>
      </c>
      <c r="N77" s="57">
        <v>0</v>
      </c>
      <c r="O77" s="57">
        <v>0</v>
      </c>
      <c r="P77" s="61">
        <f t="shared" si="55"/>
        <v>2</v>
      </c>
      <c r="Q77" s="40">
        <f t="shared" si="62"/>
        <v>0</v>
      </c>
      <c r="R77" s="40">
        <f t="shared" si="63"/>
        <v>0</v>
      </c>
      <c r="S77" s="44">
        <f t="shared" si="64"/>
        <v>2442.0917352326223</v>
      </c>
      <c r="T77" s="35">
        <f t="shared" si="65"/>
        <v>2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1312.6750244690072</v>
      </c>
      <c r="V77" s="57">
        <v>0</v>
      </c>
      <c r="W77" s="57">
        <v>0</v>
      </c>
      <c r="X77" s="61">
        <f t="shared" si="56"/>
        <v>2</v>
      </c>
      <c r="Y77" s="40">
        <f t="shared" si="66"/>
        <v>0</v>
      </c>
      <c r="Z77" s="40">
        <f t="shared" si="67"/>
        <v>0</v>
      </c>
      <c r="AA77" s="44">
        <f t="shared" si="68"/>
        <v>2625.3500489380144</v>
      </c>
      <c r="AB77" s="35">
        <f t="shared" si="69"/>
        <v>2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1409.8488718999167</v>
      </c>
      <c r="AD77" s="57">
        <v>0</v>
      </c>
      <c r="AE77" s="57">
        <v>0</v>
      </c>
      <c r="AF77" s="61">
        <f t="shared" si="57"/>
        <v>2</v>
      </c>
      <c r="AG77" s="40">
        <f t="shared" si="70"/>
        <v>0</v>
      </c>
      <c r="AH77" s="40">
        <f t="shared" si="71"/>
        <v>0</v>
      </c>
      <c r="AI77" s="44">
        <f t="shared" si="72"/>
        <v>2819.6977437998335</v>
      </c>
      <c r="AJ77" s="35">
        <f t="shared" si="58"/>
        <v>2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1511.3565316828947</v>
      </c>
      <c r="AL77" s="57">
        <v>0</v>
      </c>
      <c r="AM77" s="57">
        <v>0</v>
      </c>
      <c r="AN77" s="61">
        <f t="shared" si="59"/>
        <v>2</v>
      </c>
      <c r="AO77" s="40">
        <f t="shared" si="73"/>
        <v>0</v>
      </c>
      <c r="AP77" s="40">
        <f t="shared" si="74"/>
        <v>0</v>
      </c>
      <c r="AQ77" s="44">
        <f t="shared" si="75"/>
        <v>3022.7130633657894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1012.9151999999999</v>
      </c>
      <c r="H78" s="35">
        <f t="shared" si="60"/>
        <v>0</v>
      </c>
      <c r="I78" s="187" t="s">
        <v>754</v>
      </c>
      <c r="J78" s="212">
        <v>0</v>
      </c>
      <c r="K78" s="217" t="str">
        <f t="shared" si="61"/>
        <v/>
      </c>
      <c r="L78" s="34">
        <f t="shared" si="54"/>
        <v>0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0</v>
      </c>
      <c r="N78" s="57">
        <v>0</v>
      </c>
      <c r="O78" s="57">
        <v>0</v>
      </c>
      <c r="P78" s="61">
        <f t="shared" si="55"/>
        <v>0</v>
      </c>
      <c r="Q78" s="40">
        <f t="shared" si="62"/>
        <v>0</v>
      </c>
      <c r="R78" s="40">
        <f t="shared" si="63"/>
        <v>0</v>
      </c>
      <c r="S78" s="44">
        <f t="shared" si="64"/>
        <v>0</v>
      </c>
      <c r="T78" s="35">
        <f t="shared" si="65"/>
        <v>0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0</v>
      </c>
      <c r="V78" s="57">
        <v>0</v>
      </c>
      <c r="W78" s="57">
        <v>0</v>
      </c>
      <c r="X78" s="61">
        <f t="shared" si="56"/>
        <v>0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0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0</v>
      </c>
      <c r="AD78" s="57">
        <v>0</v>
      </c>
      <c r="AE78" s="57">
        <v>0</v>
      </c>
      <c r="AF78" s="61">
        <f t="shared" si="57"/>
        <v>0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0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0</v>
      </c>
      <c r="AL78" s="57">
        <v>0</v>
      </c>
      <c r="AM78" s="57">
        <v>0</v>
      </c>
      <c r="AN78" s="61">
        <f t="shared" si="59"/>
        <v>0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3119.5065499999996</v>
      </c>
      <c r="H79" s="35">
        <f t="shared" si="60"/>
        <v>1559.7532749999998</v>
      </c>
      <c r="I79" s="187">
        <v>2</v>
      </c>
      <c r="J79" s="212">
        <v>3148</v>
      </c>
      <c r="K79" s="217">
        <f t="shared" si="61"/>
        <v>1574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1650.086653154925</v>
      </c>
      <c r="N79" s="57">
        <v>0</v>
      </c>
      <c r="O79" s="57">
        <v>0</v>
      </c>
      <c r="P79" s="61">
        <f t="shared" si="55"/>
        <v>2</v>
      </c>
      <c r="Q79" s="40">
        <f t="shared" si="62"/>
        <v>0</v>
      </c>
      <c r="R79" s="40">
        <f t="shared" si="63"/>
        <v>0</v>
      </c>
      <c r="S79" s="44">
        <f t="shared" si="64"/>
        <v>3300.17330630985</v>
      </c>
      <c r="T79" s="35">
        <f t="shared" si="65"/>
        <v>2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1775.0652364569114</v>
      </c>
      <c r="V79" s="57">
        <v>0</v>
      </c>
      <c r="W79" s="57">
        <v>0</v>
      </c>
      <c r="X79" s="61">
        <f t="shared" si="56"/>
        <v>2</v>
      </c>
      <c r="Y79" s="40">
        <f t="shared" si="66"/>
        <v>0</v>
      </c>
      <c r="Z79" s="40">
        <f t="shared" si="67"/>
        <v>0</v>
      </c>
      <c r="AA79" s="44">
        <f t="shared" si="68"/>
        <v>3550.1304729138228</v>
      </c>
      <c r="AB79" s="35">
        <f t="shared" si="69"/>
        <v>2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1907.7083506121953</v>
      </c>
      <c r="AD79" s="57">
        <v>0</v>
      </c>
      <c r="AE79" s="57">
        <v>0</v>
      </c>
      <c r="AF79" s="61">
        <f t="shared" si="57"/>
        <v>2</v>
      </c>
      <c r="AG79" s="40">
        <f t="shared" si="70"/>
        <v>0</v>
      </c>
      <c r="AH79" s="40">
        <f t="shared" si="71"/>
        <v>0</v>
      </c>
      <c r="AI79" s="44">
        <f t="shared" si="72"/>
        <v>3815.4167012243906</v>
      </c>
      <c r="AJ79" s="35">
        <f t="shared" si="58"/>
        <v>2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2046.3912491604563</v>
      </c>
      <c r="AL79" s="57">
        <v>0</v>
      </c>
      <c r="AM79" s="57">
        <v>0</v>
      </c>
      <c r="AN79" s="61">
        <f t="shared" si="59"/>
        <v>2</v>
      </c>
      <c r="AO79" s="40">
        <f t="shared" si="73"/>
        <v>0</v>
      </c>
      <c r="AP79" s="40">
        <f t="shared" si="74"/>
        <v>0</v>
      </c>
      <c r="AQ79" s="44">
        <f t="shared" si="75"/>
        <v>4092.7824983209125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31</v>
      </c>
      <c r="G84" s="41">
        <f>SUM(G64:G83)</f>
        <v>21965.827299999997</v>
      </c>
      <c r="H84" s="41">
        <f>IFERROR(G84/F84,0)</f>
        <v>708.57507419354829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18967</v>
      </c>
      <c r="K84" s="41">
        <f>IFERROR(J84/I84,"")</f>
        <v>790.29166666666663</v>
      </c>
      <c r="L84" s="41">
        <f>SUM(L64:L83)</f>
        <v>24</v>
      </c>
      <c r="M84" s="41">
        <f>IFERROR(S84/P84,0)</f>
        <v>784.04998302369791</v>
      </c>
      <c r="N84" s="41">
        <f t="shared" ref="N84:T84" si="98">SUM(N64:N83)</f>
        <v>5</v>
      </c>
      <c r="O84" s="41">
        <f t="shared" si="98"/>
        <v>0</v>
      </c>
      <c r="P84" s="41">
        <f t="shared" si="98"/>
        <v>29</v>
      </c>
      <c r="Q84" s="41">
        <f t="shared" si="98"/>
        <v>2704.3804474481908</v>
      </c>
      <c r="R84" s="41">
        <f t="shared" si="98"/>
        <v>0</v>
      </c>
      <c r="S84" s="45">
        <f t="shared" si="98"/>
        <v>22737.449507687241</v>
      </c>
      <c r="T84" s="41">
        <f t="shared" si="98"/>
        <v>29</v>
      </c>
      <c r="U84" s="41">
        <f>IFERROR(AA84/X84,0)</f>
        <v>814.36793763395212</v>
      </c>
      <c r="V84" s="41">
        <f t="shared" ref="V84:AB84" si="99">SUM(V64:V83)</f>
        <v>3</v>
      </c>
      <c r="W84" s="41">
        <f t="shared" si="99"/>
        <v>0</v>
      </c>
      <c r="X84" s="41">
        <f t="shared" si="99"/>
        <v>32</v>
      </c>
      <c r="Y84" s="41">
        <f t="shared" si="99"/>
        <v>1506.7048901485123</v>
      </c>
      <c r="Z84" s="41">
        <f t="shared" si="99"/>
        <v>0</v>
      </c>
      <c r="AA84" s="45">
        <f t="shared" si="99"/>
        <v>26059.774004286468</v>
      </c>
      <c r="AB84" s="41">
        <f t="shared" si="99"/>
        <v>32</v>
      </c>
      <c r="AC84" s="41">
        <f>IFERROR(AI84/AF84,0)</f>
        <v>866.31042879860047</v>
      </c>
      <c r="AD84" s="41">
        <f t="shared" ref="AD84:AJ84" si="100">SUM(AD64:AD83)</f>
        <v>1</v>
      </c>
      <c r="AE84" s="41">
        <f t="shared" si="100"/>
        <v>0</v>
      </c>
      <c r="AF84" s="41">
        <f t="shared" si="100"/>
        <v>33</v>
      </c>
      <c r="AG84" s="41">
        <f t="shared" si="100"/>
        <v>465.4960581549845</v>
      </c>
      <c r="AH84" s="41">
        <f t="shared" si="100"/>
        <v>0</v>
      </c>
      <c r="AI84" s="45">
        <f t="shared" si="100"/>
        <v>28588.244150353814</v>
      </c>
      <c r="AJ84" s="41">
        <f t="shared" si="100"/>
        <v>33</v>
      </c>
      <c r="AK84" s="41">
        <f>IFERROR(AQ84/AN84,0)</f>
        <v>933.22184855402566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33</v>
      </c>
      <c r="AO84" s="41">
        <f t="shared" si="101"/>
        <v>0</v>
      </c>
      <c r="AP84" s="41">
        <f t="shared" si="101"/>
        <v>0</v>
      </c>
      <c r="AQ84" s="45">
        <f t="shared" si="101"/>
        <v>30796.321002282846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19559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24529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25687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27639.212000000003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-3178.4495076872408</v>
      </c>
      <c r="T86" s="39"/>
      <c r="U86" s="39"/>
      <c r="V86" s="53"/>
      <c r="W86" s="53"/>
      <c r="X86" s="110"/>
      <c r="Y86" s="39"/>
      <c r="Z86" s="39"/>
      <c r="AA86" s="54">
        <f>AA85-AA84</f>
        <v>-1530.774004286468</v>
      </c>
      <c r="AB86" s="39"/>
      <c r="AC86" s="53"/>
      <c r="AD86" s="53"/>
      <c r="AE86" s="110"/>
      <c r="AF86" s="39"/>
      <c r="AG86" s="39"/>
      <c r="AH86" s="39"/>
      <c r="AI86" s="54">
        <f>AI85-AI84</f>
        <v>-2901.2441503538139</v>
      </c>
      <c r="AJ86" s="53"/>
      <c r="AK86" s="53"/>
      <c r="AL86" s="110"/>
      <c r="AM86" s="110"/>
      <c r="AN86" s="110"/>
      <c r="AO86" s="110"/>
      <c r="AP86" s="111"/>
      <c r="AQ86" s="54">
        <f>AQ85-AQ84</f>
        <v>-3157.109002282843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Research, Policy and Legislation   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51.007770000000001</v>
      </c>
      <c r="H92" s="35">
        <f>IFERROR(G92/F92,0)</f>
        <v>0</v>
      </c>
      <c r="I92" s="156" t="s">
        <v>754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1</v>
      </c>
      <c r="J96" s="212">
        <v>282</v>
      </c>
      <c r="K96" s="217">
        <f t="shared" si="109"/>
        <v>282</v>
      </c>
      <c r="L96" s="34">
        <f t="shared" si="102"/>
        <v>1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302.81940703486674</v>
      </c>
      <c r="N96" s="57">
        <v>0</v>
      </c>
      <c r="O96" s="57">
        <v>0</v>
      </c>
      <c r="P96" s="61">
        <f t="shared" si="103"/>
        <v>1</v>
      </c>
      <c r="Q96" s="40">
        <f t="shared" si="110"/>
        <v>0</v>
      </c>
      <c r="R96" s="40">
        <f t="shared" si="111"/>
        <v>0</v>
      </c>
      <c r="S96" s="44">
        <f t="shared" si="112"/>
        <v>302.81940703486674</v>
      </c>
      <c r="T96" s="35">
        <f t="shared" si="113"/>
        <v>1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324.02679466352572</v>
      </c>
      <c r="V96" s="57">
        <v>0</v>
      </c>
      <c r="W96" s="57">
        <v>0</v>
      </c>
      <c r="X96" s="61">
        <f t="shared" si="104"/>
        <v>1</v>
      </c>
      <c r="Y96" s="40">
        <f t="shared" si="114"/>
        <v>0</v>
      </c>
      <c r="Z96" s="40">
        <f t="shared" si="115"/>
        <v>0</v>
      </c>
      <c r="AA96" s="44">
        <f t="shared" si="116"/>
        <v>324.02679466352572</v>
      </c>
      <c r="AB96" s="35">
        <f t="shared" si="117"/>
        <v>1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346.39537500321961</v>
      </c>
      <c r="AD96" s="57">
        <v>0</v>
      </c>
      <c r="AE96" s="57">
        <v>0</v>
      </c>
      <c r="AF96" s="61">
        <f t="shared" si="105"/>
        <v>1</v>
      </c>
      <c r="AG96" s="40">
        <f t="shared" si="118"/>
        <v>0</v>
      </c>
      <c r="AH96" s="40">
        <f t="shared" si="119"/>
        <v>0</v>
      </c>
      <c r="AI96" s="44">
        <f t="shared" si="120"/>
        <v>346.39537500321961</v>
      </c>
      <c r="AJ96" s="35">
        <f t="shared" si="106"/>
        <v>1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369.61533746581068</v>
      </c>
      <c r="AL96" s="57">
        <v>0</v>
      </c>
      <c r="AM96" s="57">
        <v>0</v>
      </c>
      <c r="AN96" s="61">
        <f t="shared" si="107"/>
        <v>1</v>
      </c>
      <c r="AO96" s="40">
        <f t="shared" si="121"/>
        <v>0</v>
      </c>
      <c r="AP96" s="40">
        <f t="shared" si="122"/>
        <v>0</v>
      </c>
      <c r="AQ96" s="44">
        <f t="shared" si="123"/>
        <v>369.61533746581068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5</v>
      </c>
      <c r="G97" s="35">
        <f>SUMIFS(WORKING!$AC$3:$AC$6802,WORKING!$A$3:$A$6802,Results!$D$3,WORKING!$B$3:$B$6802,Results!A97,WORKING!$C$3:$C$6802,Results!C97)/1000</f>
        <v>1093.9163500000002</v>
      </c>
      <c r="H97" s="35">
        <f t="shared" si="108"/>
        <v>218.78327000000004</v>
      </c>
      <c r="I97" s="187">
        <v>3</v>
      </c>
      <c r="J97" s="212">
        <v>554</v>
      </c>
      <c r="K97" s="217">
        <f t="shared" si="109"/>
        <v>184.66666666666666</v>
      </c>
      <c r="L97" s="34">
        <f t="shared" si="102"/>
        <v>3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200.79483551534355</v>
      </c>
      <c r="N97" s="57">
        <v>0</v>
      </c>
      <c r="O97" s="57">
        <v>0</v>
      </c>
      <c r="P97" s="61">
        <f t="shared" si="103"/>
        <v>3</v>
      </c>
      <c r="Q97" s="40">
        <f t="shared" si="110"/>
        <v>0</v>
      </c>
      <c r="R97" s="40">
        <f t="shared" si="111"/>
        <v>0</v>
      </c>
      <c r="S97" s="44">
        <f t="shared" si="112"/>
        <v>602.38450654603071</v>
      </c>
      <c r="T97" s="35">
        <f t="shared" si="113"/>
        <v>3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217.79761154138785</v>
      </c>
      <c r="V97" s="57">
        <v>0</v>
      </c>
      <c r="W97" s="57">
        <v>0</v>
      </c>
      <c r="X97" s="61">
        <f t="shared" si="104"/>
        <v>3</v>
      </c>
      <c r="Y97" s="40">
        <f t="shared" si="114"/>
        <v>0</v>
      </c>
      <c r="Z97" s="40">
        <f t="shared" si="115"/>
        <v>0</v>
      </c>
      <c r="AA97" s="44">
        <f t="shared" si="116"/>
        <v>653.39283462416358</v>
      </c>
      <c r="AB97" s="35">
        <f t="shared" si="117"/>
        <v>3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236.01944477151238</v>
      </c>
      <c r="AD97" s="57">
        <v>0</v>
      </c>
      <c r="AE97" s="57">
        <v>0</v>
      </c>
      <c r="AF97" s="61">
        <f t="shared" si="105"/>
        <v>3</v>
      </c>
      <c r="AG97" s="40">
        <f t="shared" si="118"/>
        <v>0</v>
      </c>
      <c r="AH97" s="40">
        <f t="shared" si="119"/>
        <v>0</v>
      </c>
      <c r="AI97" s="44">
        <f t="shared" si="120"/>
        <v>708.05833431453721</v>
      </c>
      <c r="AJ97" s="35">
        <f t="shared" si="106"/>
        <v>3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255.28747660841225</v>
      </c>
      <c r="AL97" s="57">
        <v>0</v>
      </c>
      <c r="AM97" s="57">
        <v>0</v>
      </c>
      <c r="AN97" s="61">
        <f t="shared" si="107"/>
        <v>3</v>
      </c>
      <c r="AO97" s="40">
        <f t="shared" si="121"/>
        <v>0</v>
      </c>
      <c r="AP97" s="40">
        <f t="shared" si="122"/>
        <v>0</v>
      </c>
      <c r="AQ97" s="44">
        <f t="shared" si="123"/>
        <v>765.86242982523675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 t="s">
        <v>754</v>
      </c>
      <c r="J98" s="212" t="s">
        <v>754</v>
      </c>
      <c r="K98" s="217" t="str">
        <f t="shared" si="109"/>
        <v/>
      </c>
      <c r="L98" s="34">
        <f t="shared" si="102"/>
        <v>0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0</v>
      </c>
      <c r="N98" s="57">
        <v>0</v>
      </c>
      <c r="O98" s="57">
        <v>0</v>
      </c>
      <c r="P98" s="61">
        <f t="shared" si="103"/>
        <v>0</v>
      </c>
      <c r="Q98" s="40">
        <f t="shared" si="110"/>
        <v>0</v>
      </c>
      <c r="R98" s="40">
        <f t="shared" si="111"/>
        <v>0</v>
      </c>
      <c r="S98" s="44">
        <f t="shared" si="112"/>
        <v>0</v>
      </c>
      <c r="T98" s="35">
        <f t="shared" si="113"/>
        <v>0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0</v>
      </c>
      <c r="V98" s="57">
        <v>0</v>
      </c>
      <c r="W98" s="57">
        <v>0</v>
      </c>
      <c r="X98" s="61">
        <f t="shared" si="104"/>
        <v>0</v>
      </c>
      <c r="Y98" s="40">
        <f t="shared" si="114"/>
        <v>0</v>
      </c>
      <c r="Z98" s="40">
        <f t="shared" si="115"/>
        <v>0</v>
      </c>
      <c r="AA98" s="44">
        <f t="shared" si="116"/>
        <v>0</v>
      </c>
      <c r="AB98" s="35">
        <f t="shared" si="117"/>
        <v>0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0</v>
      </c>
      <c r="AD98" s="57">
        <v>0</v>
      </c>
      <c r="AE98" s="57">
        <v>0</v>
      </c>
      <c r="AF98" s="61">
        <f t="shared" si="105"/>
        <v>0</v>
      </c>
      <c r="AG98" s="40">
        <f t="shared" si="118"/>
        <v>0</v>
      </c>
      <c r="AH98" s="40">
        <f t="shared" si="119"/>
        <v>0</v>
      </c>
      <c r="AI98" s="44">
        <f t="shared" si="120"/>
        <v>0</v>
      </c>
      <c r="AJ98" s="35">
        <f t="shared" si="106"/>
        <v>0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0</v>
      </c>
      <c r="AL98" s="57">
        <v>0</v>
      </c>
      <c r="AM98" s="57">
        <v>0</v>
      </c>
      <c r="AN98" s="61">
        <f t="shared" si="107"/>
        <v>0</v>
      </c>
      <c r="AO98" s="40">
        <f t="shared" si="121"/>
        <v>0</v>
      </c>
      <c r="AP98" s="40">
        <f t="shared" si="122"/>
        <v>0</v>
      </c>
      <c r="AQ98" s="44">
        <f t="shared" si="123"/>
        <v>0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</v>
      </c>
      <c r="G99" s="35">
        <f>SUMIFS(WORKING!$AC$3:$AC$6802,WORKING!$A$3:$A$6802,Results!$D$3,WORKING!$B$3:$B$6802,Results!A99,WORKING!$C$3:$C$6802,Results!C99)/1000</f>
        <v>695.63337999999999</v>
      </c>
      <c r="H99" s="35">
        <f t="shared" si="108"/>
        <v>347.81668999999999</v>
      </c>
      <c r="I99" s="187">
        <v>1</v>
      </c>
      <c r="J99" s="212">
        <v>356</v>
      </c>
      <c r="K99" s="217">
        <f t="shared" si="109"/>
        <v>356</v>
      </c>
      <c r="L99" s="34">
        <f t="shared" si="102"/>
        <v>1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388.22018432983714</v>
      </c>
      <c r="N99" s="57">
        <v>0</v>
      </c>
      <c r="O99" s="57">
        <v>0</v>
      </c>
      <c r="P99" s="61">
        <f t="shared" si="103"/>
        <v>1</v>
      </c>
      <c r="Q99" s="40">
        <f t="shared" si="110"/>
        <v>0</v>
      </c>
      <c r="R99" s="40">
        <f t="shared" si="111"/>
        <v>0</v>
      </c>
      <c r="S99" s="44">
        <f t="shared" si="112"/>
        <v>388.22018432983714</v>
      </c>
      <c r="T99" s="35">
        <f t="shared" si="113"/>
        <v>1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421.4437685429441</v>
      </c>
      <c r="V99" s="57">
        <v>0</v>
      </c>
      <c r="W99" s="57">
        <v>0</v>
      </c>
      <c r="X99" s="61">
        <f t="shared" si="104"/>
        <v>1</v>
      </c>
      <c r="Y99" s="40">
        <f t="shared" si="114"/>
        <v>0</v>
      </c>
      <c r="Z99" s="40">
        <f t="shared" si="115"/>
        <v>0</v>
      </c>
      <c r="AA99" s="44">
        <f t="shared" si="116"/>
        <v>421.4437685429441</v>
      </c>
      <c r="AB99" s="35">
        <f t="shared" si="117"/>
        <v>1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457.08314783438254</v>
      </c>
      <c r="AD99" s="57">
        <v>0</v>
      </c>
      <c r="AE99" s="57">
        <v>0</v>
      </c>
      <c r="AF99" s="61">
        <f t="shared" si="105"/>
        <v>1</v>
      </c>
      <c r="AG99" s="40">
        <f t="shared" si="118"/>
        <v>0</v>
      </c>
      <c r="AH99" s="40">
        <f t="shared" si="119"/>
        <v>0</v>
      </c>
      <c r="AI99" s="44">
        <f t="shared" si="120"/>
        <v>457.08314783438254</v>
      </c>
      <c r="AJ99" s="35">
        <f t="shared" si="106"/>
        <v>1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494.80916761289637</v>
      </c>
      <c r="AL99" s="57">
        <v>0</v>
      </c>
      <c r="AM99" s="57">
        <v>0</v>
      </c>
      <c r="AN99" s="61">
        <f t="shared" si="107"/>
        <v>1</v>
      </c>
      <c r="AO99" s="40">
        <f t="shared" si="121"/>
        <v>0</v>
      </c>
      <c r="AP99" s="40">
        <f t="shared" si="122"/>
        <v>0</v>
      </c>
      <c r="AQ99" s="44">
        <f t="shared" si="123"/>
        <v>494.80916761289637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4</v>
      </c>
      <c r="G100" s="35">
        <f>SUMIFS(WORKING!$AC$3:$AC$6802,WORKING!$A$3:$A$6802,Results!$D$3,WORKING!$B$3:$B$6802,Results!A100,WORKING!$C$3:$C$6802,Results!C100)/1000</f>
        <v>1706.1923700000002</v>
      </c>
      <c r="H100" s="35">
        <f t="shared" si="108"/>
        <v>426.54809250000005</v>
      </c>
      <c r="I100" s="187">
        <v>1</v>
      </c>
      <c r="J100" s="212">
        <v>462</v>
      </c>
      <c r="K100" s="217">
        <f t="shared" si="109"/>
        <v>462</v>
      </c>
      <c r="L100" s="34">
        <f t="shared" si="102"/>
        <v>1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503.16319348329478</v>
      </c>
      <c r="N100" s="57">
        <v>0</v>
      </c>
      <c r="O100" s="57">
        <v>0</v>
      </c>
      <c r="P100" s="61">
        <f t="shared" si="103"/>
        <v>1</v>
      </c>
      <c r="Q100" s="40">
        <f t="shared" si="110"/>
        <v>0</v>
      </c>
      <c r="R100" s="40">
        <f t="shared" si="111"/>
        <v>0</v>
      </c>
      <c r="S100" s="44">
        <f t="shared" si="112"/>
        <v>503.16319348329478</v>
      </c>
      <c r="T100" s="35">
        <f t="shared" si="113"/>
        <v>1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546.0223948615926</v>
      </c>
      <c r="V100" s="57">
        <v>0</v>
      </c>
      <c r="W100" s="57">
        <v>0</v>
      </c>
      <c r="X100" s="61">
        <f t="shared" si="104"/>
        <v>1</v>
      </c>
      <c r="Y100" s="40">
        <f t="shared" si="114"/>
        <v>0</v>
      </c>
      <c r="Z100" s="40">
        <f t="shared" si="115"/>
        <v>0</v>
      </c>
      <c r="AA100" s="44">
        <f t="shared" si="116"/>
        <v>546.0223948615926</v>
      </c>
      <c r="AB100" s="35">
        <f t="shared" si="117"/>
        <v>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591.97874954837334</v>
      </c>
      <c r="AD100" s="57">
        <v>0</v>
      </c>
      <c r="AE100" s="57">
        <v>0</v>
      </c>
      <c r="AF100" s="61">
        <f t="shared" si="105"/>
        <v>1</v>
      </c>
      <c r="AG100" s="40">
        <f t="shared" si="118"/>
        <v>0</v>
      </c>
      <c r="AH100" s="40">
        <f t="shared" si="119"/>
        <v>0</v>
      </c>
      <c r="AI100" s="44">
        <f t="shared" si="120"/>
        <v>591.97874954837334</v>
      </c>
      <c r="AJ100" s="35">
        <f t="shared" si="106"/>
        <v>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640.60272293192099</v>
      </c>
      <c r="AL100" s="57">
        <v>0</v>
      </c>
      <c r="AM100" s="57">
        <v>0</v>
      </c>
      <c r="AN100" s="61">
        <f t="shared" si="107"/>
        <v>1</v>
      </c>
      <c r="AO100" s="40">
        <f t="shared" si="121"/>
        <v>0</v>
      </c>
      <c r="AP100" s="40">
        <f t="shared" si="122"/>
        <v>0</v>
      </c>
      <c r="AQ100" s="44">
        <f t="shared" si="123"/>
        <v>640.60272293192099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>
        <v>1</v>
      </c>
      <c r="J101" s="212">
        <v>520</v>
      </c>
      <c r="K101" s="217">
        <f t="shared" si="109"/>
        <v>520</v>
      </c>
      <c r="L101" s="34">
        <f t="shared" si="102"/>
        <v>1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558.39039595081817</v>
      </c>
      <c r="N101" s="57">
        <v>0</v>
      </c>
      <c r="O101" s="57">
        <v>0</v>
      </c>
      <c r="P101" s="61">
        <f t="shared" si="103"/>
        <v>1</v>
      </c>
      <c r="Q101" s="40">
        <f t="shared" si="110"/>
        <v>0</v>
      </c>
      <c r="R101" s="40">
        <f t="shared" si="111"/>
        <v>0</v>
      </c>
      <c r="S101" s="44">
        <f t="shared" si="112"/>
        <v>558.39039595081817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597.4962171100475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597.4962171100475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638.74324468678799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638.74324468678799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681.56019674546656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681.56019674546656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8</v>
      </c>
      <c r="G102" s="35">
        <f>SUMIFS(WORKING!$AC$3:$AC$6802,WORKING!$A$3:$A$6802,Results!$D$3,WORKING!$B$3:$B$6802,Results!A102,WORKING!$C$3:$C$6802,Results!C102)/1000</f>
        <v>5049.2575700000016</v>
      </c>
      <c r="H102" s="35">
        <f t="shared" si="108"/>
        <v>631.1571962500002</v>
      </c>
      <c r="I102" s="187">
        <v>6</v>
      </c>
      <c r="J102" s="212">
        <v>3686</v>
      </c>
      <c r="K102" s="217">
        <f t="shared" si="109"/>
        <v>614.33333333333337</v>
      </c>
      <c r="L102" s="34">
        <f t="shared" si="102"/>
        <v>6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670.54868855602263</v>
      </c>
      <c r="N102" s="57">
        <v>0</v>
      </c>
      <c r="O102" s="57">
        <v>0</v>
      </c>
      <c r="P102" s="61">
        <f t="shared" si="103"/>
        <v>6</v>
      </c>
      <c r="Q102" s="40">
        <f t="shared" si="110"/>
        <v>0</v>
      </c>
      <c r="R102" s="40">
        <f t="shared" si="111"/>
        <v>0</v>
      </c>
      <c r="S102" s="44">
        <f t="shared" si="112"/>
        <v>4023.2921313361358</v>
      </c>
      <c r="T102" s="35">
        <f t="shared" si="113"/>
        <v>6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727.82682961688033</v>
      </c>
      <c r="V102" s="57">
        <v>0</v>
      </c>
      <c r="W102" s="57">
        <v>0</v>
      </c>
      <c r="X102" s="61">
        <f t="shared" si="104"/>
        <v>6</v>
      </c>
      <c r="Y102" s="40">
        <f t="shared" si="114"/>
        <v>0</v>
      </c>
      <c r="Z102" s="40">
        <f t="shared" si="115"/>
        <v>0</v>
      </c>
      <c r="AA102" s="44">
        <f t="shared" si="116"/>
        <v>4366.960977701282</v>
      </c>
      <c r="AB102" s="35">
        <f t="shared" si="117"/>
        <v>6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789.25934299188236</v>
      </c>
      <c r="AD102" s="57">
        <v>0</v>
      </c>
      <c r="AE102" s="57">
        <v>0</v>
      </c>
      <c r="AF102" s="61">
        <f t="shared" si="105"/>
        <v>6</v>
      </c>
      <c r="AG102" s="40">
        <f t="shared" si="118"/>
        <v>0</v>
      </c>
      <c r="AH102" s="40">
        <f t="shared" si="119"/>
        <v>0</v>
      </c>
      <c r="AI102" s="44">
        <f t="shared" si="120"/>
        <v>4735.556057951294</v>
      </c>
      <c r="AJ102" s="35">
        <f t="shared" si="106"/>
        <v>6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854.2758253441217</v>
      </c>
      <c r="AL102" s="57">
        <v>0</v>
      </c>
      <c r="AM102" s="57">
        <v>0</v>
      </c>
      <c r="AN102" s="61">
        <f t="shared" si="107"/>
        <v>6</v>
      </c>
      <c r="AO102" s="40">
        <f t="shared" si="121"/>
        <v>0</v>
      </c>
      <c r="AP102" s="40">
        <f t="shared" si="122"/>
        <v>0</v>
      </c>
      <c r="AQ102" s="44">
        <f t="shared" si="123"/>
        <v>5125.6549520647304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7</v>
      </c>
      <c r="G104" s="35">
        <f>SUMIFS(WORKING!$AC$3:$AC$6802,WORKING!$A$3:$A$6802,Results!$D$3,WORKING!$B$3:$B$6802,Results!A104,WORKING!$C$3:$C$6802,Results!C104)/1000</f>
        <v>6487.3480799999998</v>
      </c>
      <c r="H104" s="35">
        <f t="shared" si="108"/>
        <v>926.76401142857139</v>
      </c>
      <c r="I104" s="187">
        <v>4</v>
      </c>
      <c r="J104" s="212">
        <v>3756</v>
      </c>
      <c r="K104" s="217">
        <f t="shared" si="109"/>
        <v>939</v>
      </c>
      <c r="L104" s="34">
        <f t="shared" si="102"/>
        <v>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983.23119722229546</v>
      </c>
      <c r="N104" s="57">
        <v>0</v>
      </c>
      <c r="O104" s="57">
        <v>0</v>
      </c>
      <c r="P104" s="61">
        <f t="shared" si="103"/>
        <v>4</v>
      </c>
      <c r="Q104" s="40">
        <f t="shared" si="110"/>
        <v>0</v>
      </c>
      <c r="R104" s="40">
        <f t="shared" si="111"/>
        <v>0</v>
      </c>
      <c r="S104" s="44">
        <f t="shared" si="112"/>
        <v>3932.9247888891819</v>
      </c>
      <c r="T104" s="35">
        <f t="shared" si="113"/>
        <v>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1056.4556044799156</v>
      </c>
      <c r="V104" s="57">
        <v>0</v>
      </c>
      <c r="W104" s="57">
        <v>0</v>
      </c>
      <c r="X104" s="61">
        <f t="shared" si="104"/>
        <v>4</v>
      </c>
      <c r="Y104" s="40">
        <f t="shared" si="114"/>
        <v>0</v>
      </c>
      <c r="Z104" s="40">
        <f t="shared" si="115"/>
        <v>0</v>
      </c>
      <c r="AA104" s="44">
        <f t="shared" si="116"/>
        <v>4225.8224179196623</v>
      </c>
      <c r="AB104" s="35">
        <f t="shared" si="117"/>
        <v>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1134.0623897273733</v>
      </c>
      <c r="AD104" s="57">
        <v>0</v>
      </c>
      <c r="AE104" s="57">
        <v>0</v>
      </c>
      <c r="AF104" s="61">
        <f t="shared" si="105"/>
        <v>4</v>
      </c>
      <c r="AG104" s="40">
        <f t="shared" si="118"/>
        <v>0</v>
      </c>
      <c r="AH104" s="40">
        <f t="shared" si="119"/>
        <v>0</v>
      </c>
      <c r="AI104" s="44">
        <f t="shared" si="120"/>
        <v>4536.2495589094933</v>
      </c>
      <c r="AJ104" s="35">
        <f t="shared" si="106"/>
        <v>4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1215.0710431000405</v>
      </c>
      <c r="AL104" s="57">
        <v>0</v>
      </c>
      <c r="AM104" s="57">
        <v>0</v>
      </c>
      <c r="AN104" s="61">
        <f t="shared" si="107"/>
        <v>4</v>
      </c>
      <c r="AO104" s="40">
        <f t="shared" si="121"/>
        <v>0</v>
      </c>
      <c r="AP104" s="40">
        <f t="shared" si="122"/>
        <v>0</v>
      </c>
      <c r="AQ104" s="44">
        <f t="shared" si="123"/>
        <v>4860.2841724001619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4</v>
      </c>
      <c r="G105" s="35">
        <f>SUMIFS(WORKING!$AC$3:$AC$6802,WORKING!$A$3:$A$6802,Results!$D$3,WORKING!$B$3:$B$6802,Results!A105,WORKING!$C$3:$C$6802,Results!C105)/1000</f>
        <v>4455.5711300000003</v>
      </c>
      <c r="H105" s="35">
        <f t="shared" si="108"/>
        <v>1113.8927825000001</v>
      </c>
      <c r="I105" s="187">
        <v>2</v>
      </c>
      <c r="J105" s="212">
        <v>2278</v>
      </c>
      <c r="K105" s="217">
        <f t="shared" si="109"/>
        <v>1139</v>
      </c>
      <c r="L105" s="34">
        <f t="shared" si="102"/>
        <v>2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1193.7479609197303</v>
      </c>
      <c r="N105" s="57">
        <v>0</v>
      </c>
      <c r="O105" s="57">
        <v>1</v>
      </c>
      <c r="P105" s="61">
        <f t="shared" si="103"/>
        <v>1</v>
      </c>
      <c r="Q105" s="40">
        <f t="shared" si="110"/>
        <v>0</v>
      </c>
      <c r="R105" s="40">
        <f t="shared" si="111"/>
        <v>-1193.7479609197303</v>
      </c>
      <c r="S105" s="44">
        <f t="shared" si="112"/>
        <v>1193.7479609197303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1283.8287741170136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1283.8287741170136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1379.4045762594058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1379.4045762594058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1479.2965586089356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1479.2965586089356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0</v>
      </c>
      <c r="J106" s="212">
        <v>1012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30</v>
      </c>
      <c r="G112" s="41">
        <f>SUM(G92:G111)</f>
        <v>19538.926650000001</v>
      </c>
      <c r="H112" s="41">
        <f>IFERROR(G112/F112,0)</f>
        <v>651.29755499999999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19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12906</v>
      </c>
      <c r="K112" s="41">
        <f>IFERROR(J112/I112,"")</f>
        <v>679.26315789473688</v>
      </c>
      <c r="L112" s="41">
        <f>SUM(L92:L111)</f>
        <v>19</v>
      </c>
      <c r="M112" s="41">
        <f>IFERROR(S112/P112,0)</f>
        <v>639.16347602721646</v>
      </c>
      <c r="N112" s="41">
        <f t="shared" ref="N112:T112" si="124">SUM(N92:N111)</f>
        <v>0</v>
      </c>
      <c r="O112" s="41">
        <f t="shared" si="124"/>
        <v>1</v>
      </c>
      <c r="P112" s="41">
        <f t="shared" si="124"/>
        <v>18</v>
      </c>
      <c r="Q112" s="41">
        <f t="shared" si="124"/>
        <v>0</v>
      </c>
      <c r="R112" s="41">
        <f t="shared" si="124"/>
        <v>-1193.7479609197303</v>
      </c>
      <c r="S112" s="45">
        <f t="shared" si="124"/>
        <v>11504.942568489896</v>
      </c>
      <c r="T112" s="41">
        <f t="shared" si="124"/>
        <v>18</v>
      </c>
      <c r="U112" s="41">
        <f>IFERROR(AA112/X112,0)</f>
        <v>689.94412108556833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18</v>
      </c>
      <c r="Y112" s="41">
        <f t="shared" si="125"/>
        <v>0</v>
      </c>
      <c r="Z112" s="41">
        <f t="shared" si="125"/>
        <v>0</v>
      </c>
      <c r="AA112" s="45">
        <f t="shared" si="125"/>
        <v>12418.99417954023</v>
      </c>
      <c r="AB112" s="41">
        <f t="shared" si="125"/>
        <v>18</v>
      </c>
      <c r="AC112" s="41">
        <f>IFERROR(AI112/AF112,0)</f>
        <v>744.08161358374969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18</v>
      </c>
      <c r="AG112" s="41">
        <f t="shared" si="126"/>
        <v>0</v>
      </c>
      <c r="AH112" s="41">
        <f t="shared" si="126"/>
        <v>0</v>
      </c>
      <c r="AI112" s="45">
        <f t="shared" si="126"/>
        <v>13393.469044507494</v>
      </c>
      <c r="AJ112" s="41">
        <f t="shared" si="126"/>
        <v>18</v>
      </c>
      <c r="AK112" s="41">
        <f>IFERROR(AQ112/AN112,0)</f>
        <v>800.98252986973102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18</v>
      </c>
      <c r="AO112" s="41">
        <f t="shared" si="127"/>
        <v>0</v>
      </c>
      <c r="AP112" s="41">
        <f t="shared" si="127"/>
        <v>0</v>
      </c>
      <c r="AQ112" s="45">
        <f t="shared" si="127"/>
        <v>14417.685537655159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14252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15755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17465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18792.34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2747.0574315101039</v>
      </c>
      <c r="T114" s="39"/>
      <c r="U114" s="39"/>
      <c r="V114" s="53"/>
      <c r="W114" s="53"/>
      <c r="X114" s="110"/>
      <c r="Y114" s="39"/>
      <c r="Z114" s="39"/>
      <c r="AA114" s="54">
        <f>AA113-AA112</f>
        <v>3336.0058204597699</v>
      </c>
      <c r="AB114" s="39"/>
      <c r="AC114" s="53"/>
      <c r="AD114" s="53"/>
      <c r="AE114" s="110"/>
      <c r="AF114" s="39"/>
      <c r="AG114" s="39"/>
      <c r="AH114" s="39"/>
      <c r="AI114" s="54">
        <f>AI113-AI112</f>
        <v>4071.5309554925061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4374.6544623448408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Institutional Support and Coordination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>
        <v>51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2</v>
      </c>
      <c r="G123" s="35">
        <f>SUMIFS(WORKING!$AC$3:$AC$6802,WORKING!$A$3:$A$6802,Results!$D$3,WORKING!$B$3:$B$6802,Results!A123,WORKING!$C$3:$C$6802,Results!C123)/1000</f>
        <v>347.47444999999993</v>
      </c>
      <c r="H123" s="35">
        <f t="shared" si="134"/>
        <v>173.73722499999997</v>
      </c>
      <c r="I123" s="187">
        <v>0</v>
      </c>
      <c r="J123" s="212">
        <v>0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189.1149058201276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205.19456128942289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222.4332514626112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240.66891123169194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15.04585</v>
      </c>
      <c r="H124" s="35">
        <f t="shared" si="134"/>
        <v>0</v>
      </c>
      <c r="I124" s="187">
        <v>2</v>
      </c>
      <c r="J124" s="212">
        <v>355</v>
      </c>
      <c r="K124" s="217">
        <f t="shared" si="135"/>
        <v>177.5</v>
      </c>
      <c r="L124" s="34">
        <f t="shared" si="128"/>
        <v>2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192.84148115989427</v>
      </c>
      <c r="N124" s="57">
        <v>0</v>
      </c>
      <c r="O124" s="57">
        <v>0</v>
      </c>
      <c r="P124" s="61">
        <f t="shared" si="129"/>
        <v>2</v>
      </c>
      <c r="Q124" s="40">
        <f t="shared" si="136"/>
        <v>0</v>
      </c>
      <c r="R124" s="40">
        <f t="shared" si="137"/>
        <v>0</v>
      </c>
      <c r="S124" s="44">
        <f t="shared" si="138"/>
        <v>385.68296231978854</v>
      </c>
      <c r="T124" s="35">
        <f t="shared" si="139"/>
        <v>2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209.12120425591462</v>
      </c>
      <c r="V124" s="57">
        <v>1</v>
      </c>
      <c r="W124" s="57">
        <v>0</v>
      </c>
      <c r="X124" s="61">
        <f t="shared" si="130"/>
        <v>3</v>
      </c>
      <c r="Y124" s="40">
        <f t="shared" si="140"/>
        <v>209.12120425591462</v>
      </c>
      <c r="Z124" s="40">
        <f t="shared" si="141"/>
        <v>0</v>
      </c>
      <c r="AA124" s="44">
        <f t="shared" si="142"/>
        <v>627.36361276774392</v>
      </c>
      <c r="AB124" s="35">
        <f t="shared" si="143"/>
        <v>3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226.5634076172409</v>
      </c>
      <c r="AD124" s="57">
        <v>0</v>
      </c>
      <c r="AE124" s="57">
        <v>0</v>
      </c>
      <c r="AF124" s="61">
        <f t="shared" si="131"/>
        <v>3</v>
      </c>
      <c r="AG124" s="40">
        <f t="shared" si="144"/>
        <v>0</v>
      </c>
      <c r="AH124" s="40">
        <f t="shared" si="145"/>
        <v>0</v>
      </c>
      <c r="AI124" s="44">
        <f t="shared" si="146"/>
        <v>679.69022285172264</v>
      </c>
      <c r="AJ124" s="35">
        <f t="shared" si="132"/>
        <v>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245.00135896188013</v>
      </c>
      <c r="AL124" s="57">
        <v>0</v>
      </c>
      <c r="AM124" s="57">
        <v>0</v>
      </c>
      <c r="AN124" s="61">
        <f t="shared" si="133"/>
        <v>3</v>
      </c>
      <c r="AO124" s="40">
        <f t="shared" si="147"/>
        <v>0</v>
      </c>
      <c r="AP124" s="40">
        <f t="shared" si="148"/>
        <v>0</v>
      </c>
      <c r="AQ124" s="44">
        <f t="shared" si="149"/>
        <v>735.00407688564042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8</v>
      </c>
      <c r="G125" s="35">
        <f>SUMIFS(WORKING!$AC$3:$AC$6802,WORKING!$A$3:$A$6802,Results!$D$3,WORKING!$B$3:$B$6802,Results!A125,WORKING!$C$3:$C$6802,Results!C125)/1000</f>
        <v>1871.1854900000001</v>
      </c>
      <c r="H125" s="35">
        <f t="shared" si="134"/>
        <v>233.89818625000001</v>
      </c>
      <c r="I125" s="187">
        <v>10</v>
      </c>
      <c r="J125" s="212">
        <v>2406</v>
      </c>
      <c r="K125" s="217">
        <f t="shared" si="135"/>
        <v>240.6</v>
      </c>
      <c r="L125" s="34">
        <f t="shared" si="128"/>
        <v>10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261.70228808205087</v>
      </c>
      <c r="N125" s="57">
        <v>0</v>
      </c>
      <c r="O125" s="57">
        <v>0</v>
      </c>
      <c r="P125" s="61">
        <f t="shared" si="129"/>
        <v>10</v>
      </c>
      <c r="Q125" s="40">
        <f t="shared" si="136"/>
        <v>0</v>
      </c>
      <c r="R125" s="40">
        <f t="shared" si="137"/>
        <v>0</v>
      </c>
      <c r="S125" s="44">
        <f t="shared" si="138"/>
        <v>2617.0228808205088</v>
      </c>
      <c r="T125" s="35">
        <f t="shared" si="139"/>
        <v>10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283.89159282863341</v>
      </c>
      <c r="V125" s="57">
        <v>0</v>
      </c>
      <c r="W125" s="57">
        <v>0</v>
      </c>
      <c r="X125" s="61">
        <f t="shared" si="130"/>
        <v>10</v>
      </c>
      <c r="Y125" s="40">
        <f t="shared" si="140"/>
        <v>0</v>
      </c>
      <c r="Z125" s="40">
        <f t="shared" si="141"/>
        <v>0</v>
      </c>
      <c r="AA125" s="44">
        <f t="shared" si="142"/>
        <v>2838.9159282863338</v>
      </c>
      <c r="AB125" s="35">
        <f t="shared" si="143"/>
        <v>10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307.67451901842315</v>
      </c>
      <c r="AD125" s="57">
        <v>0</v>
      </c>
      <c r="AE125" s="57">
        <v>0</v>
      </c>
      <c r="AF125" s="61">
        <f t="shared" si="131"/>
        <v>10</v>
      </c>
      <c r="AG125" s="40">
        <f t="shared" si="144"/>
        <v>0</v>
      </c>
      <c r="AH125" s="40">
        <f t="shared" si="145"/>
        <v>0</v>
      </c>
      <c r="AI125" s="44">
        <f t="shared" si="146"/>
        <v>3076.7451901842314</v>
      </c>
      <c r="AJ125" s="35">
        <f t="shared" si="132"/>
        <v>10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332.8260898422738</v>
      </c>
      <c r="AL125" s="57">
        <v>0</v>
      </c>
      <c r="AM125" s="57">
        <v>0</v>
      </c>
      <c r="AN125" s="61">
        <f t="shared" si="133"/>
        <v>10</v>
      </c>
      <c r="AO125" s="40">
        <f t="shared" si="147"/>
        <v>0</v>
      </c>
      <c r="AP125" s="40">
        <f t="shared" si="148"/>
        <v>0</v>
      </c>
      <c r="AQ125" s="44">
        <f t="shared" si="149"/>
        <v>3328.2608984227381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4.1476499999999996</v>
      </c>
      <c r="H126" s="35">
        <f t="shared" si="134"/>
        <v>0</v>
      </c>
      <c r="I126" s="187" t="s">
        <v>754</v>
      </c>
      <c r="J126" s="212">
        <v>0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3</v>
      </c>
      <c r="J127" s="212">
        <v>1065</v>
      </c>
      <c r="K127" s="217">
        <f t="shared" si="135"/>
        <v>355</v>
      </c>
      <c r="L127" s="34">
        <f t="shared" si="128"/>
        <v>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381.20882800488545</v>
      </c>
      <c r="N127" s="57">
        <v>1</v>
      </c>
      <c r="O127" s="57">
        <v>0</v>
      </c>
      <c r="P127" s="61">
        <f t="shared" si="129"/>
        <v>4</v>
      </c>
      <c r="Q127" s="40">
        <f t="shared" si="136"/>
        <v>381.20882800488545</v>
      </c>
      <c r="R127" s="40">
        <f t="shared" si="137"/>
        <v>0</v>
      </c>
      <c r="S127" s="44">
        <f t="shared" si="138"/>
        <v>1524.8353120195418</v>
      </c>
      <c r="T127" s="35">
        <f t="shared" si="139"/>
        <v>4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407.90607129628239</v>
      </c>
      <c r="V127" s="57">
        <v>1</v>
      </c>
      <c r="W127" s="57">
        <v>0</v>
      </c>
      <c r="X127" s="61">
        <f t="shared" si="130"/>
        <v>5</v>
      </c>
      <c r="Y127" s="40">
        <f t="shared" si="140"/>
        <v>407.90607129628239</v>
      </c>
      <c r="Z127" s="40">
        <f t="shared" si="141"/>
        <v>0</v>
      </c>
      <c r="AA127" s="44">
        <f t="shared" si="142"/>
        <v>2039.5303564814119</v>
      </c>
      <c r="AB127" s="35">
        <f t="shared" si="143"/>
        <v>5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436.06509973809563</v>
      </c>
      <c r="AD127" s="57">
        <v>0</v>
      </c>
      <c r="AE127" s="57">
        <v>0</v>
      </c>
      <c r="AF127" s="61">
        <f t="shared" si="131"/>
        <v>5</v>
      </c>
      <c r="AG127" s="40">
        <f t="shared" si="144"/>
        <v>0</v>
      </c>
      <c r="AH127" s="40">
        <f t="shared" si="145"/>
        <v>0</v>
      </c>
      <c r="AI127" s="44">
        <f t="shared" si="146"/>
        <v>2180.3254986904781</v>
      </c>
      <c r="AJ127" s="35">
        <f t="shared" si="132"/>
        <v>5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465.29590354738582</v>
      </c>
      <c r="AL127" s="57">
        <v>0</v>
      </c>
      <c r="AM127" s="57">
        <v>0</v>
      </c>
      <c r="AN127" s="61">
        <f t="shared" si="133"/>
        <v>5</v>
      </c>
      <c r="AO127" s="40">
        <f t="shared" si="147"/>
        <v>0</v>
      </c>
      <c r="AP127" s="40">
        <f t="shared" si="148"/>
        <v>0</v>
      </c>
      <c r="AQ127" s="44">
        <f t="shared" si="149"/>
        <v>2326.4795177369292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3</v>
      </c>
      <c r="J128" s="212">
        <v>1334</v>
      </c>
      <c r="K128" s="217">
        <f t="shared" si="135"/>
        <v>444.66666666666669</v>
      </c>
      <c r="L128" s="34">
        <f t="shared" si="128"/>
        <v>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477.49537705025091</v>
      </c>
      <c r="N128" s="57">
        <v>0</v>
      </c>
      <c r="O128" s="57">
        <v>0</v>
      </c>
      <c r="P128" s="61">
        <f t="shared" si="129"/>
        <v>3</v>
      </c>
      <c r="Q128" s="40">
        <f t="shared" si="136"/>
        <v>0</v>
      </c>
      <c r="R128" s="40">
        <f t="shared" si="137"/>
        <v>0</v>
      </c>
      <c r="S128" s="44">
        <f t="shared" si="138"/>
        <v>1432.4861311507527</v>
      </c>
      <c r="T128" s="35">
        <f t="shared" si="139"/>
        <v>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510.9358677082073</v>
      </c>
      <c r="V128" s="57">
        <v>2</v>
      </c>
      <c r="W128" s="57">
        <v>0</v>
      </c>
      <c r="X128" s="61">
        <f t="shared" si="130"/>
        <v>5</v>
      </c>
      <c r="Y128" s="40">
        <f t="shared" si="140"/>
        <v>1021.8717354164146</v>
      </c>
      <c r="Z128" s="40">
        <f t="shared" si="141"/>
        <v>0</v>
      </c>
      <c r="AA128" s="44">
        <f t="shared" si="142"/>
        <v>2554.6793385410365</v>
      </c>
      <c r="AB128" s="35">
        <f t="shared" si="143"/>
        <v>5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546.20736436677896</v>
      </c>
      <c r="AD128" s="57">
        <v>1</v>
      </c>
      <c r="AE128" s="57">
        <v>0</v>
      </c>
      <c r="AF128" s="61">
        <f t="shared" si="131"/>
        <v>6</v>
      </c>
      <c r="AG128" s="40">
        <f t="shared" si="144"/>
        <v>546.20736436677896</v>
      </c>
      <c r="AH128" s="40">
        <f t="shared" si="145"/>
        <v>0</v>
      </c>
      <c r="AI128" s="44">
        <f t="shared" si="146"/>
        <v>3277.2441862006735</v>
      </c>
      <c r="AJ128" s="35">
        <f t="shared" si="132"/>
        <v>6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582.82134772977724</v>
      </c>
      <c r="AL128" s="57">
        <v>0</v>
      </c>
      <c r="AM128" s="57">
        <v>0</v>
      </c>
      <c r="AN128" s="61">
        <f t="shared" si="133"/>
        <v>6</v>
      </c>
      <c r="AO128" s="40">
        <f t="shared" si="147"/>
        <v>0</v>
      </c>
      <c r="AP128" s="40">
        <f t="shared" si="148"/>
        <v>0</v>
      </c>
      <c r="AQ128" s="44">
        <f t="shared" si="149"/>
        <v>3496.9280863786635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2</v>
      </c>
      <c r="G130" s="35">
        <f>SUMIFS(WORKING!$AC$3:$AC$6802,WORKING!$A$3:$A$6802,Results!$D$3,WORKING!$B$3:$B$6802,Results!A130,WORKING!$C$3:$C$6802,Results!C130)/1000</f>
        <v>1276.6710799999998</v>
      </c>
      <c r="H130" s="35">
        <f t="shared" si="134"/>
        <v>638.33553999999992</v>
      </c>
      <c r="I130" s="187">
        <v>4</v>
      </c>
      <c r="J130" s="212">
        <v>2753</v>
      </c>
      <c r="K130" s="217">
        <f t="shared" si="135"/>
        <v>688.25</v>
      </c>
      <c r="L130" s="34">
        <f t="shared" si="128"/>
        <v>4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751.49455410403561</v>
      </c>
      <c r="N130" s="57">
        <v>0</v>
      </c>
      <c r="O130" s="57">
        <v>0</v>
      </c>
      <c r="P130" s="61">
        <f t="shared" si="129"/>
        <v>4</v>
      </c>
      <c r="Q130" s="40">
        <f t="shared" si="136"/>
        <v>0</v>
      </c>
      <c r="R130" s="40">
        <f t="shared" si="137"/>
        <v>0</v>
      </c>
      <c r="S130" s="44">
        <f t="shared" si="138"/>
        <v>3005.9782164161425</v>
      </c>
      <c r="T130" s="35">
        <f t="shared" si="139"/>
        <v>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815.97520432240196</v>
      </c>
      <c r="V130" s="57">
        <v>0</v>
      </c>
      <c r="W130" s="57">
        <v>0</v>
      </c>
      <c r="X130" s="61">
        <f t="shared" si="130"/>
        <v>4</v>
      </c>
      <c r="Y130" s="40">
        <f t="shared" si="140"/>
        <v>0</v>
      </c>
      <c r="Z130" s="40">
        <f t="shared" si="141"/>
        <v>0</v>
      </c>
      <c r="AA130" s="44">
        <f t="shared" si="142"/>
        <v>3263.9008172896079</v>
      </c>
      <c r="AB130" s="35">
        <f t="shared" si="143"/>
        <v>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885.16047511958641</v>
      </c>
      <c r="AD130" s="57">
        <v>1</v>
      </c>
      <c r="AE130" s="57">
        <v>0</v>
      </c>
      <c r="AF130" s="61">
        <f t="shared" si="131"/>
        <v>5</v>
      </c>
      <c r="AG130" s="40">
        <f t="shared" si="144"/>
        <v>885.16047511958641</v>
      </c>
      <c r="AH130" s="40">
        <f t="shared" si="145"/>
        <v>0</v>
      </c>
      <c r="AI130" s="44">
        <f t="shared" si="146"/>
        <v>4425.802375597932</v>
      </c>
      <c r="AJ130" s="35">
        <f t="shared" si="132"/>
        <v>5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958.41539015911542</v>
      </c>
      <c r="AL130" s="57">
        <v>0</v>
      </c>
      <c r="AM130" s="57">
        <v>0</v>
      </c>
      <c r="AN130" s="61">
        <f t="shared" si="133"/>
        <v>5</v>
      </c>
      <c r="AO130" s="40">
        <f t="shared" si="147"/>
        <v>0</v>
      </c>
      <c r="AP130" s="40">
        <f t="shared" si="148"/>
        <v>0</v>
      </c>
      <c r="AQ130" s="44">
        <f t="shared" si="149"/>
        <v>4792.0769507955774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4</v>
      </c>
      <c r="G131" s="35">
        <f>SUMIFS(WORKING!$AC$3:$AC$6802,WORKING!$A$3:$A$6802,Results!$D$3,WORKING!$B$3:$B$6802,Results!A131,WORKING!$C$3:$C$6802,Results!C131)/1000</f>
        <v>3359.6949400000003</v>
      </c>
      <c r="H131" s="35">
        <f t="shared" si="134"/>
        <v>839.92373500000008</v>
      </c>
      <c r="I131" s="187">
        <v>2</v>
      </c>
      <c r="J131" s="212">
        <v>1601</v>
      </c>
      <c r="K131" s="217">
        <f t="shared" si="135"/>
        <v>800.5</v>
      </c>
      <c r="L131" s="34">
        <f t="shared" si="128"/>
        <v>2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874.1644395572564</v>
      </c>
      <c r="N131" s="57">
        <v>0</v>
      </c>
      <c r="O131" s="57">
        <v>0</v>
      </c>
      <c r="P131" s="61">
        <f t="shared" si="129"/>
        <v>2</v>
      </c>
      <c r="Q131" s="40">
        <f t="shared" si="136"/>
        <v>0</v>
      </c>
      <c r="R131" s="40">
        <f t="shared" si="137"/>
        <v>0</v>
      </c>
      <c r="S131" s="44">
        <f t="shared" si="138"/>
        <v>1748.3288791145128</v>
      </c>
      <c r="T131" s="35">
        <f t="shared" si="139"/>
        <v>2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949.284613129229</v>
      </c>
      <c r="V131" s="57">
        <v>0</v>
      </c>
      <c r="W131" s="57">
        <v>0</v>
      </c>
      <c r="X131" s="61">
        <f t="shared" si="130"/>
        <v>2</v>
      </c>
      <c r="Y131" s="40">
        <f t="shared" si="140"/>
        <v>0</v>
      </c>
      <c r="Z131" s="40">
        <f t="shared" si="141"/>
        <v>0</v>
      </c>
      <c r="AA131" s="44">
        <f t="shared" si="142"/>
        <v>1898.569226258458</v>
      </c>
      <c r="AB131" s="35">
        <f t="shared" si="143"/>
        <v>2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1029.8967195128669</v>
      </c>
      <c r="AD131" s="57">
        <v>0</v>
      </c>
      <c r="AE131" s="57">
        <v>0</v>
      </c>
      <c r="AF131" s="61">
        <f t="shared" si="131"/>
        <v>2</v>
      </c>
      <c r="AG131" s="40">
        <f t="shared" si="144"/>
        <v>0</v>
      </c>
      <c r="AH131" s="40">
        <f t="shared" si="145"/>
        <v>0</v>
      </c>
      <c r="AI131" s="44">
        <f t="shared" si="146"/>
        <v>2059.7934390257337</v>
      </c>
      <c r="AJ131" s="35">
        <f t="shared" si="132"/>
        <v>2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1115.2638424776512</v>
      </c>
      <c r="AL131" s="57">
        <v>0</v>
      </c>
      <c r="AM131" s="57">
        <v>0</v>
      </c>
      <c r="AN131" s="61">
        <f t="shared" si="133"/>
        <v>2</v>
      </c>
      <c r="AO131" s="40">
        <f t="shared" si="147"/>
        <v>0</v>
      </c>
      <c r="AP131" s="40">
        <f t="shared" si="148"/>
        <v>0</v>
      </c>
      <c r="AQ131" s="44">
        <f t="shared" si="149"/>
        <v>2230.5276849553024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4</v>
      </c>
      <c r="G132" s="35">
        <f>SUMIFS(WORKING!$AC$3:$AC$6802,WORKING!$A$3:$A$6802,Results!$D$3,WORKING!$B$3:$B$6802,Results!A132,WORKING!$C$3:$C$6802,Results!C132)/1000</f>
        <v>3730.8062100000006</v>
      </c>
      <c r="H132" s="35">
        <f t="shared" si="134"/>
        <v>932.70155250000016</v>
      </c>
      <c r="I132" s="187">
        <v>8</v>
      </c>
      <c r="J132" s="212">
        <v>7312</v>
      </c>
      <c r="K132" s="217">
        <f t="shared" si="135"/>
        <v>914</v>
      </c>
      <c r="L132" s="34">
        <f t="shared" si="128"/>
        <v>8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957.98987598424878</v>
      </c>
      <c r="N132" s="57">
        <v>0</v>
      </c>
      <c r="O132" s="57">
        <v>1</v>
      </c>
      <c r="P132" s="61">
        <f t="shared" si="129"/>
        <v>7</v>
      </c>
      <c r="Q132" s="40">
        <f t="shared" si="136"/>
        <v>0</v>
      </c>
      <c r="R132" s="40">
        <f t="shared" si="137"/>
        <v>-957.98987598424878</v>
      </c>
      <c r="S132" s="44">
        <f t="shared" si="138"/>
        <v>6705.9291318897413</v>
      </c>
      <c r="T132" s="35">
        <f t="shared" si="139"/>
        <v>7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1030.3414865643983</v>
      </c>
      <c r="V132" s="57">
        <v>0</v>
      </c>
      <c r="W132" s="57">
        <v>0</v>
      </c>
      <c r="X132" s="61">
        <f t="shared" si="130"/>
        <v>7</v>
      </c>
      <c r="Y132" s="40">
        <f t="shared" si="140"/>
        <v>0</v>
      </c>
      <c r="Z132" s="40">
        <f t="shared" si="141"/>
        <v>0</v>
      </c>
      <c r="AA132" s="44">
        <f t="shared" si="142"/>
        <v>7212.3904059507886</v>
      </c>
      <c r="AB132" s="35">
        <f t="shared" si="143"/>
        <v>7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1107.11197760388</v>
      </c>
      <c r="AD132" s="57">
        <v>0</v>
      </c>
      <c r="AE132" s="57">
        <v>0</v>
      </c>
      <c r="AF132" s="61">
        <f t="shared" si="131"/>
        <v>7</v>
      </c>
      <c r="AG132" s="40">
        <f t="shared" si="144"/>
        <v>0</v>
      </c>
      <c r="AH132" s="40">
        <f t="shared" si="145"/>
        <v>0</v>
      </c>
      <c r="AI132" s="44">
        <f t="shared" si="146"/>
        <v>7749.7838432271601</v>
      </c>
      <c r="AJ132" s="35">
        <f t="shared" si="132"/>
        <v>7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1187.35596634324</v>
      </c>
      <c r="AL132" s="57">
        <v>0</v>
      </c>
      <c r="AM132" s="57">
        <v>0</v>
      </c>
      <c r="AN132" s="61">
        <f t="shared" si="133"/>
        <v>7</v>
      </c>
      <c r="AO132" s="40">
        <f t="shared" si="147"/>
        <v>0</v>
      </c>
      <c r="AP132" s="40">
        <f t="shared" si="148"/>
        <v>0</v>
      </c>
      <c r="AQ132" s="44">
        <f t="shared" si="149"/>
        <v>8311.4917644026791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2</v>
      </c>
      <c r="G133" s="35">
        <f>SUMIFS(WORKING!$AC$3:$AC$6802,WORKING!$A$3:$A$6802,Results!$D$3,WORKING!$B$3:$B$6802,Results!A133,WORKING!$C$3:$C$6802,Results!C133)/1000</f>
        <v>2290.6362100000001</v>
      </c>
      <c r="H133" s="35">
        <f t="shared" si="134"/>
        <v>1145.3181050000001</v>
      </c>
      <c r="I133" s="187">
        <v>8</v>
      </c>
      <c r="J133" s="212">
        <v>7876</v>
      </c>
      <c r="K133" s="217">
        <f t="shared" si="135"/>
        <v>984.5</v>
      </c>
      <c r="L133" s="34">
        <f t="shared" si="128"/>
        <v>8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1031.4753642328847</v>
      </c>
      <c r="N133" s="57">
        <v>0</v>
      </c>
      <c r="O133" s="57">
        <v>0</v>
      </c>
      <c r="P133" s="61">
        <f t="shared" si="129"/>
        <v>8</v>
      </c>
      <c r="Q133" s="40">
        <f t="shared" si="136"/>
        <v>0</v>
      </c>
      <c r="R133" s="40">
        <f t="shared" si="137"/>
        <v>0</v>
      </c>
      <c r="S133" s="44">
        <f t="shared" si="138"/>
        <v>8251.8029138630773</v>
      </c>
      <c r="T133" s="35">
        <f t="shared" si="139"/>
        <v>8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1108.9387074096944</v>
      </c>
      <c r="V133" s="57">
        <v>0</v>
      </c>
      <c r="W133" s="57">
        <v>0</v>
      </c>
      <c r="X133" s="61">
        <f t="shared" si="130"/>
        <v>8</v>
      </c>
      <c r="Y133" s="40">
        <f t="shared" si="140"/>
        <v>0</v>
      </c>
      <c r="Z133" s="40">
        <f t="shared" si="141"/>
        <v>0</v>
      </c>
      <c r="AA133" s="44">
        <f t="shared" si="142"/>
        <v>8871.5096592775553</v>
      </c>
      <c r="AB133" s="35">
        <f t="shared" si="143"/>
        <v>8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1191.0947779728708</v>
      </c>
      <c r="AD133" s="57">
        <v>0</v>
      </c>
      <c r="AE133" s="57">
        <v>2</v>
      </c>
      <c r="AF133" s="61">
        <f t="shared" si="131"/>
        <v>6</v>
      </c>
      <c r="AG133" s="40">
        <f t="shared" si="144"/>
        <v>0</v>
      </c>
      <c r="AH133" s="40">
        <f t="shared" si="145"/>
        <v>-2382.1895559457416</v>
      </c>
      <c r="AI133" s="44">
        <f t="shared" si="146"/>
        <v>7146.5686678372249</v>
      </c>
      <c r="AJ133" s="35">
        <f t="shared" si="132"/>
        <v>6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1276.9212831633247</v>
      </c>
      <c r="AL133" s="57">
        <v>0</v>
      </c>
      <c r="AM133" s="57">
        <v>0</v>
      </c>
      <c r="AN133" s="61">
        <f t="shared" si="133"/>
        <v>6</v>
      </c>
      <c r="AO133" s="40">
        <f t="shared" si="147"/>
        <v>0</v>
      </c>
      <c r="AP133" s="40">
        <f t="shared" si="148"/>
        <v>0</v>
      </c>
      <c r="AQ133" s="44">
        <f t="shared" si="149"/>
        <v>7661.5276989799477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22</v>
      </c>
      <c r="G140" s="41">
        <f>SUM(G120:G139)</f>
        <v>12895.661880000001</v>
      </c>
      <c r="H140" s="41">
        <f>IFERROR(G140/F140,0)</f>
        <v>586.16644909090917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40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24753</v>
      </c>
      <c r="K140" s="41">
        <f>IFERROR(J140/I140,"")</f>
        <v>618.82500000000005</v>
      </c>
      <c r="L140" s="41">
        <f>SUM(L120:L139)</f>
        <v>40</v>
      </c>
      <c r="M140" s="41">
        <f>IFERROR(S140/P140,0)</f>
        <v>641.80166068985159</v>
      </c>
      <c r="N140" s="41">
        <f t="shared" ref="N140:T140" si="151">SUM(N120:N139)</f>
        <v>1</v>
      </c>
      <c r="O140" s="41">
        <f t="shared" si="151"/>
        <v>1</v>
      </c>
      <c r="P140" s="41">
        <f t="shared" si="151"/>
        <v>40</v>
      </c>
      <c r="Q140" s="41">
        <f t="shared" si="151"/>
        <v>381.20882800488545</v>
      </c>
      <c r="R140" s="41">
        <f t="shared" si="151"/>
        <v>-957.98987598424878</v>
      </c>
      <c r="S140" s="45">
        <f t="shared" si="151"/>
        <v>25672.066427594065</v>
      </c>
      <c r="T140" s="41">
        <f t="shared" si="151"/>
        <v>40</v>
      </c>
      <c r="U140" s="41">
        <f>IFERROR(AA140/X140,0)</f>
        <v>666.06498511029395</v>
      </c>
      <c r="V140" s="41">
        <f t="shared" ref="V140:AB140" si="152">SUM(V120:V139)</f>
        <v>4</v>
      </c>
      <c r="W140" s="41">
        <f t="shared" si="152"/>
        <v>0</v>
      </c>
      <c r="X140" s="41">
        <f t="shared" si="152"/>
        <v>44</v>
      </c>
      <c r="Y140" s="41">
        <f t="shared" si="152"/>
        <v>1638.8990109686115</v>
      </c>
      <c r="Z140" s="41">
        <f t="shared" si="152"/>
        <v>0</v>
      </c>
      <c r="AA140" s="45">
        <f t="shared" si="152"/>
        <v>29306.859344852935</v>
      </c>
      <c r="AB140" s="41">
        <f t="shared" si="152"/>
        <v>44</v>
      </c>
      <c r="AC140" s="41">
        <f>IFERROR(AI140/AF140,0)</f>
        <v>695.36257780943549</v>
      </c>
      <c r="AD140" s="41">
        <f t="shared" ref="AD140:AJ140" si="153">SUM(AD120:AD139)</f>
        <v>2</v>
      </c>
      <c r="AE140" s="41">
        <f t="shared" si="153"/>
        <v>2</v>
      </c>
      <c r="AF140" s="41">
        <f t="shared" si="153"/>
        <v>44</v>
      </c>
      <c r="AG140" s="41">
        <f t="shared" si="153"/>
        <v>1431.3678394863655</v>
      </c>
      <c r="AH140" s="41">
        <f t="shared" si="153"/>
        <v>-2382.1895559457416</v>
      </c>
      <c r="AI140" s="45">
        <f t="shared" si="153"/>
        <v>30595.953423615159</v>
      </c>
      <c r="AJ140" s="41">
        <f t="shared" si="153"/>
        <v>44</v>
      </c>
      <c r="AK140" s="41">
        <f>IFERROR(AQ140/AN140,0)</f>
        <v>747.3249245126699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44</v>
      </c>
      <c r="AO140" s="41">
        <f t="shared" si="154"/>
        <v>0</v>
      </c>
      <c r="AP140" s="41">
        <f t="shared" si="154"/>
        <v>0</v>
      </c>
      <c r="AQ140" s="45">
        <f t="shared" si="154"/>
        <v>32882.296678557475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27221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28759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30701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33034.276000000005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1548.9335724059347</v>
      </c>
      <c r="T142" s="39"/>
      <c r="U142" s="39"/>
      <c r="V142" s="53"/>
      <c r="W142" s="53"/>
      <c r="X142" s="110"/>
      <c r="Y142" s="39"/>
      <c r="Z142" s="39"/>
      <c r="AA142" s="54">
        <f>AA141-AA140</f>
        <v>-547.85934485293546</v>
      </c>
      <c r="AB142" s="39"/>
      <c r="AC142" s="53"/>
      <c r="AD142" s="53"/>
      <c r="AE142" s="110"/>
      <c r="AF142" s="39"/>
      <c r="AG142" s="39"/>
      <c r="AH142" s="39"/>
      <c r="AI142" s="54">
        <f>AI141-AI140</f>
        <v>105.04657638484059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151.97932144252991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p3MjYKenbfXgwOM3Fn2XE/usvB99SWx+RjugIOcil+buzqV8weRCgB/XnJfngQPUZBst2819rmJLl7uhu7U6iQ==" saltValue="oaf+dY7kPXxQ6yl4/HtTOQ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Traditional Affairs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43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42671.521582291665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NAT_HRBP__42671.5215822917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HRBP-Vote43.xlsx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office/2006/metadata/properties"/>
    <ds:schemaRef ds:uri="df7ca258-5e24-45de-bd31-dbc76bc6765a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